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30" yWindow="390" windowWidth="28620" windowHeight="14445"/>
  </bookViews>
  <sheets>
    <sheet name="Graphs" sheetId="3" r:id="rId1"/>
    <sheet name="ST Ref" sheetId="2" r:id="rId2"/>
  </sheets>
  <definedNames>
    <definedName name="Exemption">'ST Ref'!$A$9:$A$14</definedName>
  </definedNames>
  <calcPr calcId="125725"/>
</workbook>
</file>

<file path=xl/calcChain.xml><?xml version="1.0" encoding="utf-8"?>
<calcChain xmlns="http://schemas.openxmlformats.org/spreadsheetml/2006/main">
  <c r="I8" i="3"/>
  <c r="F8"/>
  <c r="C8"/>
  <c r="I12"/>
  <c r="F12"/>
  <c r="C6"/>
  <c r="C25" s="1"/>
  <c r="F24"/>
  <c r="G24" s="1"/>
  <c r="I24"/>
  <c r="J24" s="1"/>
  <c r="C14" i="2"/>
  <c r="C13"/>
  <c r="C12"/>
  <c r="C11"/>
  <c r="C10"/>
  <c r="C26" i="3" l="1"/>
  <c r="D26" s="1"/>
  <c r="C16"/>
  <c r="D16" s="1"/>
  <c r="C21"/>
  <c r="D21" s="1"/>
  <c r="C14"/>
  <c r="D14" s="1"/>
  <c r="C18"/>
  <c r="D18" s="1"/>
  <c r="C24"/>
  <c r="D24" s="1"/>
  <c r="O24" s="1"/>
  <c r="B32" i="2" s="1"/>
  <c r="C12" i="3"/>
  <c r="D12" s="1"/>
  <c r="C13"/>
  <c r="C17"/>
  <c r="D17" s="1"/>
  <c r="C20"/>
  <c r="D20" s="1"/>
  <c r="C22"/>
  <c r="D22" s="1"/>
  <c r="D13"/>
  <c r="F25"/>
  <c r="G25" s="1"/>
  <c r="F26"/>
  <c r="F21"/>
  <c r="F22"/>
  <c r="G22" s="1"/>
  <c r="F20"/>
  <c r="G20" s="1"/>
  <c r="F17"/>
  <c r="G17" s="1"/>
  <c r="F18"/>
  <c r="G18" s="1"/>
  <c r="F16"/>
  <c r="G16" s="1"/>
  <c r="F13"/>
  <c r="F14"/>
  <c r="G14" s="1"/>
  <c r="G12"/>
  <c r="D25"/>
  <c r="N24" l="1"/>
  <c r="A32" i="2" s="1"/>
  <c r="G13" i="3"/>
  <c r="G26"/>
  <c r="G21"/>
  <c r="O8" l="1"/>
  <c r="O9" s="1"/>
  <c r="I16"/>
  <c r="I20"/>
  <c r="J12" l="1"/>
  <c r="J13" s="1"/>
  <c r="I13"/>
  <c r="J20"/>
  <c r="J21" s="1"/>
  <c r="I21"/>
  <c r="J25"/>
  <c r="I25"/>
  <c r="J16"/>
  <c r="J17" s="1"/>
  <c r="I17"/>
  <c r="O16"/>
  <c r="B24" i="2" s="1"/>
  <c r="N16" i="3"/>
  <c r="A24" i="2" s="1"/>
  <c r="O20" i="3"/>
  <c r="B28" i="2" s="1"/>
  <c r="N20" i="3"/>
  <c r="A28" i="2" s="1"/>
  <c r="N12" i="3"/>
  <c r="A20" i="2" s="1"/>
  <c r="F3"/>
  <c r="F4"/>
  <c r="F2"/>
  <c r="E3"/>
  <c r="E4"/>
  <c r="E6"/>
  <c r="F6" s="1"/>
  <c r="C6"/>
  <c r="D6" s="1"/>
  <c r="E2"/>
  <c r="C5"/>
  <c r="C4"/>
  <c r="C3"/>
  <c r="C2"/>
  <c r="D3"/>
  <c r="D4"/>
  <c r="D5"/>
  <c r="E5" s="1"/>
  <c r="F5" s="1"/>
  <c r="D2"/>
  <c r="J18" i="3" l="1"/>
  <c r="O18" s="1"/>
  <c r="B26" i="2" s="1"/>
  <c r="O17" i="3"/>
  <c r="B25" i="2" s="1"/>
  <c r="J26" i="3"/>
  <c r="O26" s="1"/>
  <c r="B34" i="2" s="1"/>
  <c r="O25" i="3"/>
  <c r="B33" i="2" s="1"/>
  <c r="J22" i="3"/>
  <c r="O22" s="1"/>
  <c r="B30" i="2" s="1"/>
  <c r="O21" i="3"/>
  <c r="B29" i="2" s="1"/>
  <c r="J14" i="3"/>
  <c r="O14" s="1"/>
  <c r="B22" i="2" s="1"/>
  <c r="O13" i="3"/>
  <c r="B21" i="2" s="1"/>
  <c r="I18" i="3"/>
  <c r="N18" s="1"/>
  <c r="A26" i="2" s="1"/>
  <c r="N17" i="3"/>
  <c r="A25" i="2" s="1"/>
  <c r="I26" i="3"/>
  <c r="N26" s="1"/>
  <c r="A34" i="2" s="1"/>
  <c r="N25" i="3"/>
  <c r="A33" i="2" s="1"/>
  <c r="I22" i="3"/>
  <c r="N22" s="1"/>
  <c r="A30" i="2" s="1"/>
  <c r="N21" i="3"/>
  <c r="A29" i="2" s="1"/>
  <c r="I14" i="3"/>
  <c r="N14" s="1"/>
  <c r="A22" i="2" s="1"/>
  <c r="N13" i="3"/>
  <c r="A21" i="2" s="1"/>
  <c r="O12" i="3"/>
  <c r="B20" i="2" s="1"/>
</calcChain>
</file>

<file path=xl/sharedStrings.xml><?xml version="1.0" encoding="utf-8"?>
<sst xmlns="http://schemas.openxmlformats.org/spreadsheetml/2006/main" count="31" uniqueCount="21">
  <si>
    <t>Income</t>
  </si>
  <si>
    <t>Family Size</t>
  </si>
  <si>
    <t>Revenue</t>
  </si>
  <si>
    <t>Rev</t>
  </si>
  <si>
    <t>Rev/income</t>
  </si>
  <si>
    <t>Rev per 1% of tax</t>
  </si>
  <si>
    <t>Rev for bracket</t>
  </si>
  <si>
    <t>Income Tax %</t>
  </si>
  <si>
    <t>Sales Tax %</t>
  </si>
  <si>
    <t>Impact in $</t>
  </si>
  <si>
    <t>% of Income</t>
  </si>
  <si>
    <t>Totals</t>
  </si>
  <si>
    <t>PFD Cap</t>
  </si>
  <si>
    <t>Impact on Families At Selected Income Levels</t>
  </si>
  <si>
    <t>Rate</t>
  </si>
  <si>
    <t>Baseline</t>
  </si>
  <si>
    <t>Reduction</t>
  </si>
  <si>
    <t>Exemption</t>
  </si>
  <si>
    <t>Distributional Analysis of Revenue Options</t>
  </si>
  <si>
    <t>Per Capita</t>
  </si>
  <si>
    <t>Revenue ($ millions)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</si>
</sst>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0_);_(&quot;$&quot;* \(#,##0.0000\);_(&quot;$&quot;* &quot;-&quot;??_);_(@_)"/>
    <numFmt numFmtId="168" formatCode="_(* #,##0_);_(* \(#,##0\);_(* &quot;-&quot;??_);_(@_)"/>
    <numFmt numFmtId="170" formatCode="_(&quot;$&quot;* #,##0_);_(&quot;$&quot;* \(#,##0\);_(&quot;$&quot;* &quot;-&quot;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8">
    <xf numFmtId="0" fontId="0" fillId="0" borderId="0" xfId="0"/>
    <xf numFmtId="44" fontId="0" fillId="0" borderId="0" xfId="1" applyFont="1"/>
    <xf numFmtId="0" fontId="3" fillId="0" borderId="0" xfId="0" applyFont="1"/>
    <xf numFmtId="0" fontId="0" fillId="0" borderId="2" xfId="0" applyBorder="1"/>
    <xf numFmtId="167" fontId="0" fillId="0" borderId="0" xfId="1" applyNumberFormat="1" applyFont="1"/>
    <xf numFmtId="44" fontId="0" fillId="0" borderId="0" xfId="0" applyNumberFormat="1"/>
    <xf numFmtId="9" fontId="0" fillId="0" borderId="0" xfId="0" applyNumberFormat="1"/>
    <xf numFmtId="165" fontId="0" fillId="0" borderId="0" xfId="1" applyNumberFormat="1" applyFont="1"/>
    <xf numFmtId="6" fontId="0" fillId="0" borderId="0" xfId="0" applyNumberFormat="1"/>
    <xf numFmtId="9" fontId="0" fillId="0" borderId="0" xfId="2" applyFont="1"/>
    <xf numFmtId="0" fontId="2" fillId="0" borderId="0" xfId="0" applyFont="1"/>
    <xf numFmtId="165" fontId="0" fillId="0" borderId="0" xfId="0" applyNumberFormat="1"/>
    <xf numFmtId="164" fontId="0" fillId="0" borderId="0" xfId="1" applyNumberFormat="1" applyFont="1"/>
    <xf numFmtId="168" fontId="0" fillId="0" borderId="0" xfId="3" applyNumberFormat="1" applyFont="1"/>
    <xf numFmtId="0" fontId="7" fillId="0" borderId="0" xfId="0" applyFont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6" fontId="0" fillId="0" borderId="2" xfId="0" applyNumberFormat="1" applyBorder="1"/>
    <xf numFmtId="164" fontId="1" fillId="0" borderId="0" xfId="1" applyNumberFormat="1" applyFont="1"/>
    <xf numFmtId="164" fontId="9" fillId="0" borderId="0" xfId="1" applyNumberFormat="1" applyFont="1"/>
    <xf numFmtId="0" fontId="0" fillId="0" borderId="0" xfId="0" applyBorder="1"/>
    <xf numFmtId="166" fontId="0" fillId="0" borderId="6" xfId="2" applyNumberFormat="1" applyFont="1" applyBorder="1"/>
    <xf numFmtId="166" fontId="0" fillId="0" borderId="8" xfId="2" applyNumberFormat="1" applyFont="1" applyBorder="1"/>
    <xf numFmtId="166" fontId="0" fillId="0" borderId="11" xfId="2" applyNumberFormat="1" applyFont="1" applyBorder="1"/>
    <xf numFmtId="165" fontId="0" fillId="0" borderId="4" xfId="1" applyNumberFormat="1" applyFont="1" applyBorder="1"/>
    <xf numFmtId="165" fontId="0" fillId="0" borderId="7" xfId="1" applyNumberFormat="1" applyFont="1" applyBorder="1"/>
    <xf numFmtId="165" fontId="0" fillId="0" borderId="7" xfId="0" applyNumberFormat="1" applyBorder="1"/>
    <xf numFmtId="0" fontId="0" fillId="0" borderId="8" xfId="0" applyBorder="1"/>
    <xf numFmtId="165" fontId="0" fillId="0" borderId="9" xfId="1" applyNumberFormat="1" applyFont="1" applyBorder="1"/>
    <xf numFmtId="166" fontId="0" fillId="0" borderId="8" xfId="0" applyNumberFormat="1" applyBorder="1"/>
    <xf numFmtId="165" fontId="0" fillId="0" borderId="9" xfId="0" applyNumberFormat="1" applyBorder="1"/>
    <xf numFmtId="166" fontId="0" fillId="0" borderId="11" xfId="0" applyNumberFormat="1" applyBorder="1"/>
    <xf numFmtId="0" fontId="6" fillId="0" borderId="4" xfId="0" applyFont="1" applyBorder="1"/>
    <xf numFmtId="0" fontId="0" fillId="0" borderId="6" xfId="0" applyBorder="1"/>
    <xf numFmtId="9" fontId="0" fillId="2" borderId="7" xfId="2" applyFont="1" applyFill="1" applyBorder="1"/>
    <xf numFmtId="165" fontId="0" fillId="2" borderId="7" xfId="1" applyNumberFormat="1" applyFont="1" applyFill="1" applyBorder="1"/>
    <xf numFmtId="0" fontId="0" fillId="0" borderId="7" xfId="0" applyBorder="1"/>
    <xf numFmtId="165" fontId="0" fillId="0" borderId="7" xfId="1" applyNumberFormat="1" applyFont="1" applyFill="1" applyBorder="1"/>
    <xf numFmtId="164" fontId="0" fillId="0" borderId="8" xfId="1" applyNumberFormat="1" applyFont="1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9" fontId="0" fillId="0" borderId="7" xfId="2" applyFont="1" applyFill="1" applyBorder="1"/>
    <xf numFmtId="165" fontId="0" fillId="0" borderId="8" xfId="1" applyNumberFormat="1" applyFont="1" applyBorder="1"/>
    <xf numFmtId="0" fontId="2" fillId="0" borderId="5" xfId="0" applyFont="1" applyBorder="1"/>
    <xf numFmtId="0" fontId="8" fillId="0" borderId="5" xfId="0" applyFont="1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6" fontId="0" fillId="0" borderId="14" xfId="0" applyNumberFormat="1" applyBorder="1"/>
    <xf numFmtId="168" fontId="0" fillId="0" borderId="0" xfId="3" applyNumberFormat="1" applyFont="1" applyBorder="1"/>
    <xf numFmtId="165" fontId="0" fillId="0" borderId="0" xfId="0" applyNumberFormat="1" applyBorder="1"/>
    <xf numFmtId="10" fontId="0" fillId="0" borderId="8" xfId="2" applyNumberFormat="1" applyFont="1" applyBorder="1"/>
    <xf numFmtId="0" fontId="0" fillId="0" borderId="14" xfId="0" applyBorder="1"/>
    <xf numFmtId="0" fontId="0" fillId="0" borderId="15" xfId="0" applyBorder="1"/>
    <xf numFmtId="168" fontId="0" fillId="0" borderId="10" xfId="3" applyNumberFormat="1" applyFont="1" applyBorder="1"/>
    <xf numFmtId="165" fontId="0" fillId="0" borderId="10" xfId="0" applyNumberFormat="1" applyBorder="1"/>
    <xf numFmtId="10" fontId="0" fillId="0" borderId="11" xfId="2" applyNumberFormat="1" applyFont="1" applyBorder="1"/>
    <xf numFmtId="170" fontId="0" fillId="0" borderId="8" xfId="0" applyNumberFormat="1" applyBorder="1"/>
    <xf numFmtId="165" fontId="1" fillId="0" borderId="6" xfId="1" applyNumberFormat="1" applyFont="1" applyBorder="1"/>
  </cellXfs>
  <cellStyles count="10">
    <cellStyle name="Comma" xfId="3" builtinId="3"/>
    <cellStyle name="Comma 2" xfId="9"/>
    <cellStyle name="Currency" xfId="1" builtinId="4"/>
    <cellStyle name="Currency 2" xfId="5"/>
    <cellStyle name="Normal" xfId="0" builtinId="0"/>
    <cellStyle name="Normal 2" xfId="6"/>
    <cellStyle name="Normal 3" xfId="4"/>
    <cellStyle name="Percent" xfId="2" builtinId="5"/>
    <cellStyle name="Percent 2" xfId="8"/>
    <cellStyle name="Percent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Impact of Changes in $</a:t>
            </a:r>
            <a:r>
              <a:rPr lang="en-US" baseline="0"/>
              <a:t> 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2596035107753203"/>
          <c:y val="0.1416752830138657"/>
          <c:w val="0.84097728087530377"/>
          <c:h val="0.71151223521302254"/>
        </c:manualLayout>
      </c:layout>
      <c:barChart>
        <c:barDir val="col"/>
        <c:grouping val="stacked"/>
        <c:ser>
          <c:idx val="0"/>
          <c:order val="0"/>
          <c:tx>
            <c:v>Income After Change</c:v>
          </c:tx>
          <c:cat>
            <c:multiLvlStrRef>
              <c:f>Graphs!$L$12:$M$26</c:f>
              <c:multiLvlStrCache>
                <c:ptCount val="15"/>
                <c:lvl>
                  <c:pt idx="0">
                    <c:v> 2 </c:v>
                  </c:pt>
                  <c:pt idx="1">
                    <c:v> 4 </c:v>
                  </c:pt>
                  <c:pt idx="2">
                    <c:v> 6 </c:v>
                  </c:pt>
                  <c:pt idx="4">
                    <c:v> 2 </c:v>
                  </c:pt>
                  <c:pt idx="5">
                    <c:v> 4 </c:v>
                  </c:pt>
                  <c:pt idx="6">
                    <c:v> 6 </c:v>
                  </c:pt>
                  <c:pt idx="8">
                    <c:v> 2 </c:v>
                  </c:pt>
                  <c:pt idx="9">
                    <c:v> 4 </c:v>
                  </c:pt>
                  <c:pt idx="10">
                    <c:v> 6 </c:v>
                  </c:pt>
                  <c:pt idx="12">
                    <c:v> 2 </c:v>
                  </c:pt>
                  <c:pt idx="13">
                    <c:v> 4 </c:v>
                  </c:pt>
                  <c:pt idx="14">
                    <c:v> 6 </c:v>
                  </c:pt>
                </c:lvl>
                <c:lvl>
                  <c:pt idx="0">
                    <c:v>$25,000 </c:v>
                  </c:pt>
                  <c:pt idx="4">
                    <c:v>$50,000 </c:v>
                  </c:pt>
                  <c:pt idx="8">
                    <c:v>$100,000 </c:v>
                  </c:pt>
                  <c:pt idx="12">
                    <c:v>$250,000 </c:v>
                  </c:pt>
                </c:lvl>
              </c:multiLvlStrCache>
            </c:multiLvlStrRef>
          </c:cat>
          <c:val>
            <c:numRef>
              <c:f>'ST Ref'!$A$20:$A$34</c:f>
              <c:numCache>
                <c:formatCode>"$"#,##0_);[Red]\("$"#,##0\)</c:formatCode>
                <c:ptCount val="15"/>
                <c:pt idx="0">
                  <c:v>25000</c:v>
                </c:pt>
                <c:pt idx="1">
                  <c:v>25000</c:v>
                </c:pt>
                <c:pt idx="2">
                  <c:v>25000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2">
                  <c:v>250000</c:v>
                </c:pt>
                <c:pt idx="13">
                  <c:v>250000</c:v>
                </c:pt>
                <c:pt idx="14">
                  <c:v>250000</c:v>
                </c:pt>
              </c:numCache>
            </c:numRef>
          </c:val>
        </c:ser>
        <c:ser>
          <c:idx val="1"/>
          <c:order val="1"/>
          <c:tx>
            <c:strRef>
              <c:f>Graphs!$N$11</c:f>
              <c:strCache>
                <c:ptCount val="1"/>
                <c:pt idx="0">
                  <c:v>Impact in $</c:v>
                </c:pt>
              </c:strCache>
            </c:strRef>
          </c:tx>
          <c:cat>
            <c:multiLvlStrRef>
              <c:f>Graphs!$L$12:$M$26</c:f>
              <c:multiLvlStrCache>
                <c:ptCount val="15"/>
                <c:lvl>
                  <c:pt idx="0">
                    <c:v> 2 </c:v>
                  </c:pt>
                  <c:pt idx="1">
                    <c:v> 4 </c:v>
                  </c:pt>
                  <c:pt idx="2">
                    <c:v> 6 </c:v>
                  </c:pt>
                  <c:pt idx="4">
                    <c:v> 2 </c:v>
                  </c:pt>
                  <c:pt idx="5">
                    <c:v> 4 </c:v>
                  </c:pt>
                  <c:pt idx="6">
                    <c:v> 6 </c:v>
                  </c:pt>
                  <c:pt idx="8">
                    <c:v> 2 </c:v>
                  </c:pt>
                  <c:pt idx="9">
                    <c:v> 4 </c:v>
                  </c:pt>
                  <c:pt idx="10">
                    <c:v> 6 </c:v>
                  </c:pt>
                  <c:pt idx="12">
                    <c:v> 2 </c:v>
                  </c:pt>
                  <c:pt idx="13">
                    <c:v> 4 </c:v>
                  </c:pt>
                  <c:pt idx="14">
                    <c:v> 6 </c:v>
                  </c:pt>
                </c:lvl>
                <c:lvl>
                  <c:pt idx="0">
                    <c:v>$25,000 </c:v>
                  </c:pt>
                  <c:pt idx="4">
                    <c:v>$50,000 </c:v>
                  </c:pt>
                  <c:pt idx="8">
                    <c:v>$100,000 </c:v>
                  </c:pt>
                  <c:pt idx="12">
                    <c:v>$250,000 </c:v>
                  </c:pt>
                </c:lvl>
              </c:multiLvlStrCache>
            </c:multiLvlStrRef>
          </c:cat>
          <c:val>
            <c:numRef>
              <c:f>Graphs!$N$12:$N$26</c:f>
              <c:numCache>
                <c:formatCode>_("$"* #,##0_);_("$"* \(#,##0\);_("$"*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10"/>
        <c:overlap val="100"/>
        <c:axId val="60373248"/>
        <c:axId val="60383232"/>
      </c:barChart>
      <c:catAx>
        <c:axId val="60373248"/>
        <c:scaling>
          <c:orientation val="minMax"/>
        </c:scaling>
        <c:axPos val="b"/>
        <c:majorTickMark val="none"/>
        <c:tickLblPos val="nextTo"/>
        <c:crossAx val="60383232"/>
        <c:crosses val="autoZero"/>
        <c:auto val="1"/>
        <c:lblAlgn val="ctr"/>
        <c:lblOffset val="100"/>
      </c:catAx>
      <c:valAx>
        <c:axId val="60383232"/>
        <c:scaling>
          <c:orientation val="minMax"/>
          <c:max val="250000"/>
        </c:scaling>
        <c:axPos val="l"/>
        <c:majorGridlines/>
        <c:numFmt formatCode="&quot;$&quot;#,##0_);[Red]\(&quot;$&quot;#,##0\)" sourceLinked="1"/>
        <c:majorTickMark val="none"/>
        <c:tickLblPos val="nextTo"/>
        <c:crossAx val="6037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548175786627038"/>
          <c:y val="0.30270897955937387"/>
          <c:w val="0.2270967124134359"/>
          <c:h val="0.12177046051061807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Impact of Changes in % of</a:t>
            </a:r>
            <a:r>
              <a:rPr lang="en-US" baseline="0"/>
              <a:t> Income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7158994126787894E-2"/>
          <c:y val="0.14061005532203227"/>
          <c:w val="0.81620570676252602"/>
          <c:h val="0.71368131615127151"/>
        </c:manualLayout>
      </c:layout>
      <c:barChart>
        <c:barDir val="col"/>
        <c:grouping val="stacked"/>
        <c:ser>
          <c:idx val="0"/>
          <c:order val="0"/>
          <c:tx>
            <c:v>Income After Change</c:v>
          </c:tx>
          <c:cat>
            <c:multiLvlStrRef>
              <c:f>Graphs!$L$12:$M$26</c:f>
              <c:multiLvlStrCache>
                <c:ptCount val="15"/>
                <c:lvl>
                  <c:pt idx="0">
                    <c:v> 2 </c:v>
                  </c:pt>
                  <c:pt idx="1">
                    <c:v> 4 </c:v>
                  </c:pt>
                  <c:pt idx="2">
                    <c:v> 6 </c:v>
                  </c:pt>
                  <c:pt idx="4">
                    <c:v> 2 </c:v>
                  </c:pt>
                  <c:pt idx="5">
                    <c:v> 4 </c:v>
                  </c:pt>
                  <c:pt idx="6">
                    <c:v> 6 </c:v>
                  </c:pt>
                  <c:pt idx="8">
                    <c:v> 2 </c:v>
                  </c:pt>
                  <c:pt idx="9">
                    <c:v> 4 </c:v>
                  </c:pt>
                  <c:pt idx="10">
                    <c:v> 6 </c:v>
                  </c:pt>
                  <c:pt idx="12">
                    <c:v> 2 </c:v>
                  </c:pt>
                  <c:pt idx="13">
                    <c:v> 4 </c:v>
                  </c:pt>
                  <c:pt idx="14">
                    <c:v> 6 </c:v>
                  </c:pt>
                </c:lvl>
                <c:lvl>
                  <c:pt idx="0">
                    <c:v>$25,000 </c:v>
                  </c:pt>
                  <c:pt idx="4">
                    <c:v>$50,000 </c:v>
                  </c:pt>
                  <c:pt idx="8">
                    <c:v>$100,000 </c:v>
                  </c:pt>
                  <c:pt idx="12">
                    <c:v>$250,000 </c:v>
                  </c:pt>
                </c:lvl>
              </c:multiLvlStrCache>
            </c:multiLvlStrRef>
          </c:cat>
          <c:val>
            <c:numRef>
              <c:f>'ST Ref'!$B$20:$B$34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Graphs!$O$11</c:f>
              <c:strCache>
                <c:ptCount val="1"/>
                <c:pt idx="0">
                  <c:v>% of Income</c:v>
                </c:pt>
              </c:strCache>
            </c:strRef>
          </c:tx>
          <c:cat>
            <c:multiLvlStrRef>
              <c:f>Graphs!$L$12:$M$26</c:f>
              <c:multiLvlStrCache>
                <c:ptCount val="15"/>
                <c:lvl>
                  <c:pt idx="0">
                    <c:v> 2 </c:v>
                  </c:pt>
                  <c:pt idx="1">
                    <c:v> 4 </c:v>
                  </c:pt>
                  <c:pt idx="2">
                    <c:v> 6 </c:v>
                  </c:pt>
                  <c:pt idx="4">
                    <c:v> 2 </c:v>
                  </c:pt>
                  <c:pt idx="5">
                    <c:v> 4 </c:v>
                  </c:pt>
                  <c:pt idx="6">
                    <c:v> 6 </c:v>
                  </c:pt>
                  <c:pt idx="8">
                    <c:v> 2 </c:v>
                  </c:pt>
                  <c:pt idx="9">
                    <c:v> 4 </c:v>
                  </c:pt>
                  <c:pt idx="10">
                    <c:v> 6 </c:v>
                  </c:pt>
                  <c:pt idx="12">
                    <c:v> 2 </c:v>
                  </c:pt>
                  <c:pt idx="13">
                    <c:v> 4 </c:v>
                  </c:pt>
                  <c:pt idx="14">
                    <c:v> 6 </c:v>
                  </c:pt>
                </c:lvl>
                <c:lvl>
                  <c:pt idx="0">
                    <c:v>$25,000 </c:v>
                  </c:pt>
                  <c:pt idx="4">
                    <c:v>$50,000 </c:v>
                  </c:pt>
                  <c:pt idx="8">
                    <c:v>$100,000 </c:v>
                  </c:pt>
                  <c:pt idx="12">
                    <c:v>$250,000 </c:v>
                  </c:pt>
                </c:lvl>
              </c:multiLvlStrCache>
            </c:multiLvlStrRef>
          </c:cat>
          <c:val>
            <c:numRef>
              <c:f>Graphs!$O$12:$O$26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10"/>
        <c:overlap val="100"/>
        <c:axId val="60412672"/>
        <c:axId val="60414208"/>
      </c:barChart>
      <c:catAx>
        <c:axId val="60412672"/>
        <c:scaling>
          <c:orientation val="minMax"/>
        </c:scaling>
        <c:axPos val="b"/>
        <c:majorTickMark val="none"/>
        <c:tickLblPos val="nextTo"/>
        <c:crossAx val="60414208"/>
        <c:crosses val="autoZero"/>
        <c:auto val="1"/>
        <c:lblAlgn val="ctr"/>
        <c:lblOffset val="100"/>
      </c:catAx>
      <c:valAx>
        <c:axId val="60414208"/>
        <c:scaling>
          <c:orientation val="minMax"/>
          <c:max val="1"/>
          <c:min val="0.5"/>
        </c:scaling>
        <c:axPos val="l"/>
        <c:majorGridlines/>
        <c:numFmt formatCode="0%" sourceLinked="1"/>
        <c:majorTickMark val="none"/>
        <c:tickLblPos val="nextTo"/>
        <c:crossAx val="6041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36470088931308"/>
          <c:y val="0.31421756490965019"/>
          <c:w val="0.10663521100215768"/>
          <c:h val="0.42829014794203357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26</xdr:row>
      <xdr:rowOff>38100</xdr:rowOff>
    </xdr:from>
    <xdr:to>
      <xdr:col>7</xdr:col>
      <xdr:colOff>295274</xdr:colOff>
      <xdr:row>46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26</xdr:row>
      <xdr:rowOff>19050</xdr:rowOff>
    </xdr:from>
    <xdr:to>
      <xdr:col>15</xdr:col>
      <xdr:colOff>133350</xdr:colOff>
      <xdr:row>46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Normal="100" workbookViewId="0">
      <selection activeCell="P6" sqref="P6"/>
    </sheetView>
  </sheetViews>
  <sheetFormatPr defaultRowHeight="15"/>
  <cols>
    <col min="1" max="1" width="9.28515625" bestFit="1" customWidth="1"/>
    <col min="2" max="2" width="10.85546875" bestFit="1" customWidth="1"/>
    <col min="3" max="3" width="14" bestFit="1" customWidth="1"/>
    <col min="4" max="4" width="11.85546875" bestFit="1" customWidth="1"/>
    <col min="5" max="5" width="10.5703125" bestFit="1" customWidth="1"/>
    <col min="6" max="6" width="14.28515625" bestFit="1" customWidth="1"/>
    <col min="7" max="7" width="11.85546875" bestFit="1" customWidth="1"/>
    <col min="9" max="9" width="13.7109375" bestFit="1" customWidth="1"/>
    <col min="10" max="10" width="11.85546875" bestFit="1" customWidth="1"/>
    <col min="12" max="12" width="9.28515625" bestFit="1" customWidth="1"/>
    <col min="13" max="13" width="10.85546875" bestFit="1" customWidth="1"/>
    <col min="14" max="14" width="10.5703125" bestFit="1" customWidth="1"/>
    <col min="15" max="15" width="15.28515625" bestFit="1" customWidth="1"/>
    <col min="16" max="16" width="13.28515625" customWidth="1"/>
    <col min="17" max="17" width="11.85546875" bestFit="1" customWidth="1"/>
    <col min="31" max="31" width="9.28515625" bestFit="1" customWidth="1"/>
  </cols>
  <sheetData>
    <row r="1" spans="1:17" ht="24" thickBot="1">
      <c r="A1" s="14" t="s">
        <v>18</v>
      </c>
      <c r="B1" s="10"/>
    </row>
    <row r="2" spans="1:17">
      <c r="C2" s="32" t="s">
        <v>12</v>
      </c>
      <c r="D2" s="33"/>
      <c r="F2" s="32" t="s">
        <v>7</v>
      </c>
      <c r="G2" s="33"/>
      <c r="I2" s="32" t="s">
        <v>8</v>
      </c>
      <c r="J2" s="33"/>
    </row>
    <row r="3" spans="1:17">
      <c r="C3" s="35">
        <v>2100</v>
      </c>
      <c r="D3" s="27"/>
      <c r="E3" t="s">
        <v>14</v>
      </c>
      <c r="F3" s="34">
        <v>0</v>
      </c>
      <c r="G3" s="27"/>
      <c r="I3" s="34">
        <v>0</v>
      </c>
      <c r="J3" s="27"/>
    </row>
    <row r="4" spans="1:17">
      <c r="C4" s="37"/>
      <c r="D4" s="27"/>
      <c r="E4" t="s">
        <v>17</v>
      </c>
      <c r="F4" s="35">
        <v>0</v>
      </c>
      <c r="G4" s="27"/>
      <c r="I4" s="41"/>
      <c r="J4" s="27"/>
    </row>
    <row r="5" spans="1:17">
      <c r="B5" t="s">
        <v>15</v>
      </c>
      <c r="C5" s="37">
        <v>2100</v>
      </c>
      <c r="D5" s="27"/>
      <c r="F5" s="36"/>
      <c r="G5" s="27"/>
      <c r="I5" s="41"/>
      <c r="J5" s="27"/>
    </row>
    <row r="6" spans="1:17">
      <c r="B6" t="s">
        <v>16</v>
      </c>
      <c r="C6" s="25">
        <f>IF((C5-C3)&gt;0,(C5-C3),0)</f>
        <v>0</v>
      </c>
      <c r="D6" s="27"/>
      <c r="F6" s="37"/>
      <c r="G6" s="27"/>
      <c r="I6" s="41"/>
      <c r="J6" s="27"/>
    </row>
    <row r="7" spans="1:17" ht="15.75" thickBot="1">
      <c r="C7" s="25"/>
      <c r="D7" s="27"/>
      <c r="F7" s="36"/>
      <c r="G7" s="27"/>
      <c r="I7" s="36"/>
      <c r="J7" s="27"/>
    </row>
    <row r="8" spans="1:17">
      <c r="A8" t="s">
        <v>20</v>
      </c>
      <c r="C8" s="25">
        <f>IF((C5-C3)*673&gt;0,(C5-C3)*673,0)/1000</f>
        <v>0</v>
      </c>
      <c r="D8" s="38"/>
      <c r="E8" t="s">
        <v>2</v>
      </c>
      <c r="F8" s="25">
        <f>F3*(22100000-100*VLOOKUP(F4,'ST Ref'!A9:C14,3))/1000</f>
        <v>0</v>
      </c>
      <c r="G8" s="38"/>
      <c r="H8" t="s">
        <v>2</v>
      </c>
      <c r="I8" s="25">
        <f>I3*10470</f>
        <v>0</v>
      </c>
      <c r="J8" s="42"/>
      <c r="L8" s="32" t="s">
        <v>11</v>
      </c>
      <c r="M8" s="43"/>
      <c r="N8" s="44" t="s">
        <v>2</v>
      </c>
      <c r="O8" s="57">
        <f>C8+F8+I8</f>
        <v>0</v>
      </c>
      <c r="Q8" s="5"/>
    </row>
    <row r="9" spans="1:17">
      <c r="C9" s="36"/>
      <c r="D9" s="27"/>
      <c r="F9" s="36"/>
      <c r="G9" s="27"/>
      <c r="I9" s="36"/>
      <c r="J9" s="27"/>
      <c r="L9" s="36"/>
      <c r="M9" s="20"/>
      <c r="N9" s="20" t="s">
        <v>19</v>
      </c>
      <c r="O9" s="56">
        <f>O8/0.726</f>
        <v>0</v>
      </c>
    </row>
    <row r="10" spans="1:17" ht="21">
      <c r="A10" s="2" t="s">
        <v>13</v>
      </c>
      <c r="B10" s="10"/>
      <c r="C10" s="36"/>
      <c r="D10" s="27"/>
      <c r="F10" s="36"/>
      <c r="G10" s="27"/>
      <c r="I10" s="36"/>
      <c r="J10" s="27"/>
      <c r="L10" s="36"/>
      <c r="M10" s="20"/>
      <c r="N10" s="20"/>
      <c r="O10" s="27"/>
      <c r="P10" s="12"/>
    </row>
    <row r="11" spans="1:17" ht="15.75" thickBot="1">
      <c r="A11" s="16" t="s">
        <v>0</v>
      </c>
      <c r="B11" s="15" t="s">
        <v>1</v>
      </c>
      <c r="C11" s="39" t="s">
        <v>9</v>
      </c>
      <c r="D11" s="40" t="s">
        <v>10</v>
      </c>
      <c r="E11" s="15"/>
      <c r="F11" s="39" t="s">
        <v>9</v>
      </c>
      <c r="G11" s="40" t="s">
        <v>10</v>
      </c>
      <c r="H11" s="15"/>
      <c r="I11" s="39" t="s">
        <v>9</v>
      </c>
      <c r="J11" s="40" t="s">
        <v>10</v>
      </c>
      <c r="K11" s="15"/>
      <c r="L11" s="45" t="s">
        <v>0</v>
      </c>
      <c r="M11" s="15" t="s">
        <v>1</v>
      </c>
      <c r="N11" s="15" t="s">
        <v>9</v>
      </c>
      <c r="O11" s="46" t="s">
        <v>10</v>
      </c>
    </row>
    <row r="12" spans="1:17">
      <c r="A12" s="17">
        <v>25000</v>
      </c>
      <c r="B12" s="13">
        <v>2</v>
      </c>
      <c r="C12" s="24">
        <f>IF(C$3&lt;$C$5,C$6*B12,0)</f>
        <v>0</v>
      </c>
      <c r="D12" s="21">
        <f>C12/(A$12+C12)</f>
        <v>0</v>
      </c>
      <c r="E12" s="9"/>
      <c r="F12" s="24">
        <f>IF((A$12-F$4)*F$3&gt;0,(A$12-F$4)*F$3,0)</f>
        <v>0</v>
      </c>
      <c r="G12" s="21">
        <f>F12/A$12</f>
        <v>0</v>
      </c>
      <c r="I12" s="24">
        <f>'ST Ref'!E2*Graphs!I$3*100</f>
        <v>0</v>
      </c>
      <c r="J12" s="21">
        <f>I12/A12</f>
        <v>0</v>
      </c>
      <c r="L12" s="47">
        <v>25000</v>
      </c>
      <c r="M12" s="48">
        <v>2</v>
      </c>
      <c r="N12" s="49">
        <f>(C12+F12+I12)</f>
        <v>0</v>
      </c>
      <c r="O12" s="50">
        <f>D12+G12+J12</f>
        <v>0</v>
      </c>
    </row>
    <row r="13" spans="1:17">
      <c r="A13" s="17"/>
      <c r="B13" s="13">
        <v>4</v>
      </c>
      <c r="C13" s="25">
        <f t="shared" ref="C13:C14" si="0">IF(C$3&lt;$C$5,C$6*B13,0)</f>
        <v>0</v>
      </c>
      <c r="D13" s="22">
        <f>C13/(A$12+C13)</f>
        <v>0</v>
      </c>
      <c r="E13" s="9"/>
      <c r="F13" s="25">
        <f>IF((A$12-F$4)*F$3&gt;0,(A$12-F$4)*F$3,0)</f>
        <v>0</v>
      </c>
      <c r="G13" s="22">
        <f t="shared" ref="G13:G14" si="1">F13/A$12</f>
        <v>0</v>
      </c>
      <c r="I13" s="25">
        <f>I12</f>
        <v>0</v>
      </c>
      <c r="J13" s="22">
        <f>J12</f>
        <v>0</v>
      </c>
      <c r="L13" s="47"/>
      <c r="M13" s="48">
        <v>4</v>
      </c>
      <c r="N13" s="49">
        <f t="shared" ref="N13:N26" si="2">(C13+F13+I13)</f>
        <v>0</v>
      </c>
      <c r="O13" s="50">
        <f t="shared" ref="O13:O26" si="3">D13+G13+J13</f>
        <v>0</v>
      </c>
    </row>
    <row r="14" spans="1:17">
      <c r="A14" s="17"/>
      <c r="B14" s="13">
        <v>6</v>
      </c>
      <c r="C14" s="25">
        <f t="shared" si="0"/>
        <v>0</v>
      </c>
      <c r="D14" s="22">
        <f>C14/(A$12+C14)</f>
        <v>0</v>
      </c>
      <c r="E14" s="9"/>
      <c r="F14" s="25">
        <f>IF((A$12-F$4)*F$3&gt;0,(A$12-F$4)*F$3,0)</f>
        <v>0</v>
      </c>
      <c r="G14" s="22">
        <f t="shared" si="1"/>
        <v>0</v>
      </c>
      <c r="I14" s="25">
        <f>I13</f>
        <v>0</v>
      </c>
      <c r="J14" s="22">
        <f>J13</f>
        <v>0</v>
      </c>
      <c r="L14" s="47"/>
      <c r="M14" s="48">
        <v>6</v>
      </c>
      <c r="N14" s="49">
        <f t="shared" si="2"/>
        <v>0</v>
      </c>
      <c r="O14" s="50">
        <f t="shared" si="3"/>
        <v>0</v>
      </c>
    </row>
    <row r="15" spans="1:17">
      <c r="A15" s="17"/>
      <c r="B15" s="13"/>
      <c r="C15" s="25"/>
      <c r="D15" s="22"/>
      <c r="E15" s="9"/>
      <c r="F15" s="25"/>
      <c r="G15" s="22"/>
      <c r="I15" s="25"/>
      <c r="J15" s="22"/>
      <c r="L15" s="47"/>
      <c r="M15" s="48"/>
      <c r="N15" s="49"/>
      <c r="O15" s="50"/>
    </row>
    <row r="16" spans="1:17">
      <c r="A16" s="17">
        <v>50000</v>
      </c>
      <c r="B16" s="13">
        <v>2</v>
      </c>
      <c r="C16" s="25">
        <f>IF(C$3&lt;$C$5,C$6*B16,0)</f>
        <v>0</v>
      </c>
      <c r="D16" s="22">
        <f>C16/(A$16+C16)</f>
        <v>0</v>
      </c>
      <c r="E16" s="9"/>
      <c r="F16" s="25">
        <f>IF((A$16-F$4)*F$3&gt;0,(A$16-F$4)*F$3,0)</f>
        <v>0</v>
      </c>
      <c r="G16" s="22">
        <f>F16/A$16</f>
        <v>0</v>
      </c>
      <c r="I16" s="25">
        <f>'ST Ref'!E3*Graphs!I$3*100</f>
        <v>0</v>
      </c>
      <c r="J16" s="22">
        <f t="shared" ref="J16:J24" si="4">I16/A16</f>
        <v>0</v>
      </c>
      <c r="L16" s="47">
        <v>50000</v>
      </c>
      <c r="M16" s="48">
        <v>2</v>
      </c>
      <c r="N16" s="49">
        <f t="shared" si="2"/>
        <v>0</v>
      </c>
      <c r="O16" s="50">
        <f t="shared" si="3"/>
        <v>0</v>
      </c>
    </row>
    <row r="17" spans="1:15">
      <c r="A17" s="17"/>
      <c r="B17" s="13">
        <v>4</v>
      </c>
      <c r="C17" s="25">
        <f t="shared" ref="C17:C18" si="5">IF(C$3&lt;$C$5,C$6*B17,0)</f>
        <v>0</v>
      </c>
      <c r="D17" s="22">
        <f t="shared" ref="D17:D18" si="6">C17/(A$16+C17)</f>
        <v>0</v>
      </c>
      <c r="E17" s="9"/>
      <c r="F17" s="25">
        <f>IF((A$16-F$4)*F$3&gt;0,(A$16-F$4)*F$3,0)</f>
        <v>0</v>
      </c>
      <c r="G17" s="22">
        <f t="shared" ref="G17:G18" si="7">F17/A$16</f>
        <v>0</v>
      </c>
      <c r="I17" s="25">
        <f>I16</f>
        <v>0</v>
      </c>
      <c r="J17" s="22">
        <f>J16</f>
        <v>0</v>
      </c>
      <c r="L17" s="47"/>
      <c r="M17" s="48">
        <v>4</v>
      </c>
      <c r="N17" s="49">
        <f t="shared" si="2"/>
        <v>0</v>
      </c>
      <c r="O17" s="50">
        <f t="shared" si="3"/>
        <v>0</v>
      </c>
    </row>
    <row r="18" spans="1:15">
      <c r="A18" s="17"/>
      <c r="B18" s="13">
        <v>6</v>
      </c>
      <c r="C18" s="25">
        <f t="shared" si="5"/>
        <v>0</v>
      </c>
      <c r="D18" s="22">
        <f t="shared" si="6"/>
        <v>0</v>
      </c>
      <c r="E18" s="9"/>
      <c r="F18" s="25">
        <f>IF((A$16-F$4)*F$3&gt;0,(A$16-F$4)*F$3,0)</f>
        <v>0</v>
      </c>
      <c r="G18" s="22">
        <f t="shared" si="7"/>
        <v>0</v>
      </c>
      <c r="I18" s="25">
        <f>I17</f>
        <v>0</v>
      </c>
      <c r="J18" s="22">
        <f>J17</f>
        <v>0</v>
      </c>
      <c r="L18" s="47"/>
      <c r="M18" s="48">
        <v>6</v>
      </c>
      <c r="N18" s="49">
        <f t="shared" si="2"/>
        <v>0</v>
      </c>
      <c r="O18" s="50">
        <f t="shared" si="3"/>
        <v>0</v>
      </c>
    </row>
    <row r="19" spans="1:15">
      <c r="A19" s="17"/>
      <c r="B19" s="13"/>
      <c r="C19" s="25"/>
      <c r="D19" s="22"/>
      <c r="E19" s="9"/>
      <c r="F19" s="25"/>
      <c r="G19" s="22"/>
      <c r="I19" s="25"/>
      <c r="J19" s="22"/>
      <c r="L19" s="47"/>
      <c r="M19" s="48"/>
      <c r="N19" s="49"/>
      <c r="O19" s="50"/>
    </row>
    <row r="20" spans="1:15">
      <c r="A20" s="17">
        <v>100000</v>
      </c>
      <c r="B20" s="13">
        <v>2</v>
      </c>
      <c r="C20" s="25">
        <f>IF(C$3&lt;$C$5,C$6*B20,0)</f>
        <v>0</v>
      </c>
      <c r="D20" s="22">
        <f>C20/(A$20+C20)</f>
        <v>0</v>
      </c>
      <c r="E20" s="9"/>
      <c r="F20" s="25">
        <f>IF((A$20-F$4)*F$3&gt;0,(A$20-F$4)*F$3,0)</f>
        <v>0</v>
      </c>
      <c r="G20" s="22">
        <f>F20/A$20</f>
        <v>0</v>
      </c>
      <c r="I20" s="25">
        <f>'ST Ref'!E4*Graphs!I$3*100</f>
        <v>0</v>
      </c>
      <c r="J20" s="22">
        <f t="shared" si="4"/>
        <v>0</v>
      </c>
      <c r="L20" s="47">
        <v>100000</v>
      </c>
      <c r="M20" s="48">
        <v>2</v>
      </c>
      <c r="N20" s="49">
        <f t="shared" si="2"/>
        <v>0</v>
      </c>
      <c r="O20" s="50">
        <f t="shared" si="3"/>
        <v>0</v>
      </c>
    </row>
    <row r="21" spans="1:15">
      <c r="A21" s="17"/>
      <c r="B21" s="13">
        <v>4</v>
      </c>
      <c r="C21" s="25">
        <f t="shared" ref="C21:C22" si="8">IF(C$3&lt;$C$5,C$6*B21,0)</f>
        <v>0</v>
      </c>
      <c r="D21" s="22">
        <f t="shared" ref="D21:D22" si="9">C21/(A$20+C21)</f>
        <v>0</v>
      </c>
      <c r="E21" s="9"/>
      <c r="F21" s="25">
        <f>IF((A$20-F$4)*F$3&gt;0,(A$20-F$4)*F$3,0)</f>
        <v>0</v>
      </c>
      <c r="G21" s="22">
        <f t="shared" ref="G21:G22" si="10">F21/A$20</f>
        <v>0</v>
      </c>
      <c r="I21" s="25">
        <f>I20</f>
        <v>0</v>
      </c>
      <c r="J21" s="22">
        <f>J20</f>
        <v>0</v>
      </c>
      <c r="L21" s="47"/>
      <c r="M21" s="48">
        <v>4</v>
      </c>
      <c r="N21" s="49">
        <f t="shared" si="2"/>
        <v>0</v>
      </c>
      <c r="O21" s="50">
        <f t="shared" si="3"/>
        <v>0</v>
      </c>
    </row>
    <row r="22" spans="1:15">
      <c r="A22" s="17"/>
      <c r="B22" s="13">
        <v>6</v>
      </c>
      <c r="C22" s="25">
        <f t="shared" si="8"/>
        <v>0</v>
      </c>
      <c r="D22" s="22">
        <f t="shared" si="9"/>
        <v>0</v>
      </c>
      <c r="E22" s="9"/>
      <c r="F22" s="25">
        <f>IF((A$20-F$4)*F$3&gt;0,(A$20-F$4)*F$3,0)</f>
        <v>0</v>
      </c>
      <c r="G22" s="22">
        <f t="shared" si="10"/>
        <v>0</v>
      </c>
      <c r="I22" s="25">
        <f>I21</f>
        <v>0</v>
      </c>
      <c r="J22" s="22">
        <f>J21</f>
        <v>0</v>
      </c>
      <c r="L22" s="47"/>
      <c r="M22" s="48">
        <v>6</v>
      </c>
      <c r="N22" s="49">
        <f t="shared" si="2"/>
        <v>0</v>
      </c>
      <c r="O22" s="50">
        <f t="shared" si="3"/>
        <v>0</v>
      </c>
    </row>
    <row r="23" spans="1:15">
      <c r="A23" s="17"/>
      <c r="B23" s="13"/>
      <c r="C23" s="25"/>
      <c r="D23" s="22"/>
      <c r="E23" s="9"/>
      <c r="F23" s="25"/>
      <c r="G23" s="22"/>
      <c r="I23" s="25"/>
      <c r="J23" s="22"/>
      <c r="L23" s="47"/>
      <c r="M23" s="48"/>
      <c r="N23" s="49"/>
      <c r="O23" s="50"/>
    </row>
    <row r="24" spans="1:15">
      <c r="A24" s="17">
        <v>250000</v>
      </c>
      <c r="B24" s="13">
        <v>2</v>
      </c>
      <c r="C24" s="25">
        <f>IF(C$3&lt;$C$5,C$6*B24,0)</f>
        <v>0</v>
      </c>
      <c r="D24" s="22">
        <f>C24/(A$24+C24)</f>
        <v>0</v>
      </c>
      <c r="E24" s="9"/>
      <c r="F24" s="25">
        <f>IF((A$24-F$4)*F$3&gt;0,(A$24-F$4)*F$3,0)</f>
        <v>0</v>
      </c>
      <c r="G24" s="22">
        <f>F24/A$24</f>
        <v>0</v>
      </c>
      <c r="I24" s="25">
        <f>'ST Ref'!E5*Graphs!I$3*100</f>
        <v>0</v>
      </c>
      <c r="J24" s="22">
        <f t="shared" si="4"/>
        <v>0</v>
      </c>
      <c r="L24" s="47">
        <v>250000</v>
      </c>
      <c r="M24" s="48">
        <v>2</v>
      </c>
      <c r="N24" s="49">
        <f t="shared" si="2"/>
        <v>0</v>
      </c>
      <c r="O24" s="50">
        <f t="shared" si="3"/>
        <v>0</v>
      </c>
    </row>
    <row r="25" spans="1:15">
      <c r="A25" s="3"/>
      <c r="B25" s="13">
        <v>4</v>
      </c>
      <c r="C25" s="25">
        <f t="shared" ref="C25:C26" si="11">IF(C$3&lt;$C$5,C$6*B25,0)</f>
        <v>0</v>
      </c>
      <c r="D25" s="22">
        <f>C25/(A$24+C25)</f>
        <v>0</v>
      </c>
      <c r="F25" s="25">
        <f>IF((A$24-F$4)*F$3&gt;0,(A$24-F$4)*F$3,0)</f>
        <v>0</v>
      </c>
      <c r="G25" s="22">
        <f>F25/A$24</f>
        <v>0</v>
      </c>
      <c r="I25" s="26">
        <f>I24</f>
        <v>0</v>
      </c>
      <c r="J25" s="29">
        <f>J24</f>
        <v>0</v>
      </c>
      <c r="L25" s="51"/>
      <c r="M25" s="48">
        <v>4</v>
      </c>
      <c r="N25" s="49">
        <f t="shared" si="2"/>
        <v>0</v>
      </c>
      <c r="O25" s="50">
        <f t="shared" si="3"/>
        <v>0</v>
      </c>
    </row>
    <row r="26" spans="1:15" ht="15.75" thickBot="1">
      <c r="A26" s="3"/>
      <c r="B26" s="13">
        <v>6</v>
      </c>
      <c r="C26" s="28">
        <f t="shared" si="11"/>
        <v>0</v>
      </c>
      <c r="D26" s="23">
        <f>C26/(A$24+C26)</f>
        <v>0</v>
      </c>
      <c r="F26" s="28">
        <f>IF((A$24-F$4)*F$3&gt;0,(A$24-F$4)*F$3,0)</f>
        <v>0</v>
      </c>
      <c r="G26" s="23">
        <f>F26/A$24</f>
        <v>0</v>
      </c>
      <c r="I26" s="30">
        <f>I25</f>
        <v>0</v>
      </c>
      <c r="J26" s="31">
        <f>J25</f>
        <v>0</v>
      </c>
      <c r="L26" s="52"/>
      <c r="M26" s="53">
        <v>6</v>
      </c>
      <c r="N26" s="54">
        <f t="shared" si="2"/>
        <v>0</v>
      </c>
      <c r="O26" s="55">
        <f t="shared" si="3"/>
        <v>0</v>
      </c>
    </row>
  </sheetData>
  <dataValidations count="1">
    <dataValidation type="list" allowBlank="1" showInputMessage="1" showErrorMessage="1" sqref="F4 F6">
      <formula1>Exemption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F5" sqref="F5"/>
    </sheetView>
  </sheetViews>
  <sheetFormatPr defaultRowHeight="15"/>
  <cols>
    <col min="1" max="2" width="14.28515625" bestFit="1" customWidth="1"/>
    <col min="3" max="3" width="12.5703125" bestFit="1" customWidth="1"/>
    <col min="4" max="4" width="16.28515625" bestFit="1" customWidth="1"/>
    <col min="5" max="5" width="14.42578125" bestFit="1" customWidth="1"/>
    <col min="6" max="6" width="10.5703125" bestFit="1" customWidth="1"/>
  </cols>
  <sheetData>
    <row r="1" spans="1:6">
      <c r="B1" t="s">
        <v>3</v>
      </c>
      <c r="C1" t="s">
        <v>4</v>
      </c>
      <c r="D1" t="s">
        <v>5</v>
      </c>
      <c r="E1" t="s">
        <v>6</v>
      </c>
      <c r="F1" s="6">
        <v>0.03</v>
      </c>
    </row>
    <row r="2" spans="1:6">
      <c r="A2" s="1">
        <v>25000</v>
      </c>
      <c r="B2" s="1">
        <v>274980</v>
      </c>
      <c r="C2" s="1">
        <f>B2/7473792</f>
        <v>3.679256794944253E-2</v>
      </c>
      <c r="D2" s="4">
        <f>C2/6.875</f>
        <v>5.3516462471916411E-3</v>
      </c>
      <c r="E2" s="5">
        <f>D2*A2</f>
        <v>133.79115617979102</v>
      </c>
      <c r="F2" s="5">
        <f>E2*3</f>
        <v>401.37346853937305</v>
      </c>
    </row>
    <row r="3" spans="1:6">
      <c r="A3" s="1">
        <v>50000</v>
      </c>
      <c r="B3" s="1">
        <v>365324</v>
      </c>
      <c r="C3" s="1">
        <f>B3/12854410</f>
        <v>2.8420129745355873E-2</v>
      </c>
      <c r="D3" s="4">
        <f t="shared" ref="D3:D6" si="0">C3/6.875</f>
        <v>4.1338370538699454E-3</v>
      </c>
      <c r="E3" s="5">
        <f t="shared" ref="E3:E6" si="1">D3*A3</f>
        <v>206.69185269349728</v>
      </c>
      <c r="F3" s="5">
        <f t="shared" ref="F3:F6" si="2">E3*3</f>
        <v>620.07555808049187</v>
      </c>
    </row>
    <row r="4" spans="1:6">
      <c r="A4" s="1">
        <v>100000</v>
      </c>
      <c r="B4" s="1">
        <v>635533</v>
      </c>
      <c r="C4" s="1">
        <f>B4/29778990</f>
        <v>2.1341657322830627E-2</v>
      </c>
      <c r="D4" s="4">
        <f t="shared" si="0"/>
        <v>3.1042410651390003E-3</v>
      </c>
      <c r="E4" s="5">
        <f t="shared" si="1"/>
        <v>310.42410651390003</v>
      </c>
      <c r="F4" s="5">
        <f t="shared" si="2"/>
        <v>931.27231954170009</v>
      </c>
    </row>
    <row r="5" spans="1:6">
      <c r="A5" s="1">
        <v>250000</v>
      </c>
      <c r="B5" s="1">
        <v>1189992</v>
      </c>
      <c r="C5" s="1">
        <f>B5/84866525</f>
        <v>1.4021924427800007E-2</v>
      </c>
      <c r="D5" s="4">
        <f t="shared" si="0"/>
        <v>2.0395526440436375E-3</v>
      </c>
      <c r="E5" s="5">
        <f t="shared" si="1"/>
        <v>509.88816101090936</v>
      </c>
      <c r="F5" s="5">
        <f t="shared" si="2"/>
        <v>1529.6644830327282</v>
      </c>
    </row>
    <row r="6" spans="1:6">
      <c r="A6" s="1">
        <v>1000000</v>
      </c>
      <c r="B6" s="1">
        <v>1189992</v>
      </c>
      <c r="C6" s="1">
        <f>B6/84866525</f>
        <v>1.4021924427800007E-2</v>
      </c>
      <c r="D6" s="4">
        <f t="shared" si="0"/>
        <v>2.0395526440436375E-3</v>
      </c>
      <c r="E6" s="5">
        <f t="shared" si="1"/>
        <v>2039.5526440436374</v>
      </c>
      <c r="F6" s="5">
        <f t="shared" si="2"/>
        <v>6118.6579321309127</v>
      </c>
    </row>
    <row r="9" spans="1:6">
      <c r="A9" s="7">
        <v>0</v>
      </c>
      <c r="B9" s="18">
        <v>0</v>
      </c>
      <c r="C9" s="7">
        <v>0</v>
      </c>
    </row>
    <row r="10" spans="1:6">
      <c r="A10" s="7">
        <v>10000</v>
      </c>
      <c r="B10" s="19">
        <v>31506.446857960662</v>
      </c>
      <c r="C10" s="7">
        <f>B10</f>
        <v>31506.446857960662</v>
      </c>
    </row>
    <row r="11" spans="1:6">
      <c r="A11" s="7">
        <v>25000</v>
      </c>
      <c r="B11" s="19">
        <v>38115.338214247698</v>
      </c>
      <c r="C11" s="7">
        <f>SUM(B9:B11)</f>
        <v>69621.785072208353</v>
      </c>
    </row>
    <row r="12" spans="1:6">
      <c r="A12" s="7">
        <v>50000</v>
      </c>
      <c r="B12" s="19">
        <v>44866.871385146726</v>
      </c>
      <c r="C12" s="7">
        <f>SUM(B9:B12)</f>
        <v>114488.65645735507</v>
      </c>
    </row>
    <row r="13" spans="1:6">
      <c r="A13" s="7">
        <v>75000</v>
      </c>
      <c r="B13" s="19">
        <v>29363.9270169255</v>
      </c>
      <c r="C13" s="7">
        <f>SUM(B9:B13)</f>
        <v>143852.58347428057</v>
      </c>
    </row>
    <row r="14" spans="1:6">
      <c r="A14" s="7">
        <v>100000</v>
      </c>
      <c r="B14" s="19">
        <v>19155.412817722688</v>
      </c>
      <c r="C14" s="7">
        <f>SUM(B10:B14)</f>
        <v>163007.99629200326</v>
      </c>
      <c r="E14" s="11"/>
    </row>
    <row r="20" spans="1:2">
      <c r="A20" s="8">
        <f>Graphs!L$12-Graphs!N12</f>
        <v>25000</v>
      </c>
      <c r="B20" s="9">
        <f>1-Graphs!O12</f>
        <v>1</v>
      </c>
    </row>
    <row r="21" spans="1:2">
      <c r="A21" s="8">
        <f>Graphs!L$12-Graphs!N13</f>
        <v>25000</v>
      </c>
      <c r="B21" s="9">
        <f>1-Graphs!O13</f>
        <v>1</v>
      </c>
    </row>
    <row r="22" spans="1:2">
      <c r="A22" s="8">
        <f>Graphs!L$12-Graphs!N14</f>
        <v>25000</v>
      </c>
      <c r="B22" s="9">
        <f>1-Graphs!O14</f>
        <v>1</v>
      </c>
    </row>
    <row r="23" spans="1:2">
      <c r="A23" s="8"/>
      <c r="B23" s="9"/>
    </row>
    <row r="24" spans="1:2">
      <c r="A24" s="8">
        <f>Graphs!L$16-Graphs!N16</f>
        <v>50000</v>
      </c>
      <c r="B24" s="9">
        <f>1-Graphs!O16</f>
        <v>1</v>
      </c>
    </row>
    <row r="25" spans="1:2">
      <c r="A25" s="8">
        <f>Graphs!L$16-Graphs!N17</f>
        <v>50000</v>
      </c>
      <c r="B25" s="9">
        <f>1-Graphs!O17</f>
        <v>1</v>
      </c>
    </row>
    <row r="26" spans="1:2">
      <c r="A26" s="8">
        <f>Graphs!L$16-Graphs!N18</f>
        <v>50000</v>
      </c>
      <c r="B26" s="9">
        <f>1-Graphs!O18</f>
        <v>1</v>
      </c>
    </row>
    <row r="27" spans="1:2">
      <c r="A27" s="8"/>
      <c r="B27" s="9"/>
    </row>
    <row r="28" spans="1:2">
      <c r="A28" s="8">
        <f>Graphs!L$20-Graphs!N20</f>
        <v>100000</v>
      </c>
      <c r="B28" s="9">
        <f>1-Graphs!O20</f>
        <v>1</v>
      </c>
    </row>
    <row r="29" spans="1:2">
      <c r="A29" s="8">
        <f>Graphs!L$20-Graphs!N21</f>
        <v>100000</v>
      </c>
      <c r="B29" s="9">
        <f>1-Graphs!O21</f>
        <v>1</v>
      </c>
    </row>
    <row r="30" spans="1:2">
      <c r="A30" s="8">
        <f>Graphs!L$20-Graphs!N22</f>
        <v>100000</v>
      </c>
      <c r="B30" s="9">
        <f>1-Graphs!O22</f>
        <v>1</v>
      </c>
    </row>
    <row r="31" spans="1:2">
      <c r="A31" s="8"/>
      <c r="B31" s="9"/>
    </row>
    <row r="32" spans="1:2">
      <c r="A32" s="8">
        <f>Graphs!L$24-Graphs!N24</f>
        <v>250000</v>
      </c>
      <c r="B32" s="9">
        <f>1-Graphs!O24</f>
        <v>1</v>
      </c>
    </row>
    <row r="33" spans="1:2">
      <c r="A33" s="8">
        <f>Graphs!L$24-Graphs!N25</f>
        <v>250000</v>
      </c>
      <c r="B33" s="9">
        <f>1-Graphs!O25</f>
        <v>1</v>
      </c>
    </row>
    <row r="34" spans="1:2">
      <c r="A34" s="8">
        <f>Graphs!L$24-Graphs!N26</f>
        <v>250000</v>
      </c>
      <c r="B34" s="9">
        <f>1-Graphs!O26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Graphs</vt:lpstr>
      <vt:lpstr>ST Ref</vt:lpstr>
      <vt:lpstr>Exemption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Alexei Painter</dc:creator>
  <cp:lastModifiedBy>David Teal</cp:lastModifiedBy>
  <dcterms:created xsi:type="dcterms:W3CDTF">2015-09-15T17:18:19Z</dcterms:created>
  <dcterms:modified xsi:type="dcterms:W3CDTF">2015-11-11T19:08:09Z</dcterms:modified>
</cp:coreProperties>
</file>