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ference\Budget History\Current Budget History Files\"/>
    </mc:Choice>
  </mc:AlternateContent>
  <xr:revisionPtr revIDLastSave="0" documentId="8_{0B8B4948-351D-4BDB-9241-F9278AF17CE9}" xr6:coauthVersionLast="45" xr6:coauthVersionMax="45" xr10:uidLastSave="{00000000-0000-0000-0000-000000000000}"/>
  <bookViews>
    <workbookView xWindow="28680" yWindow="-990" windowWidth="29040" windowHeight="17640" xr2:uid="{D03C695D-704D-4821-B88E-33165C4AF1B1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2" i="1" l="1"/>
  <c r="U72" i="1"/>
  <c r="V71" i="1"/>
  <c r="U71" i="1"/>
  <c r="V70" i="1"/>
  <c r="U70" i="1"/>
  <c r="V69" i="1"/>
  <c r="U69" i="1"/>
  <c r="V68" i="1"/>
  <c r="U68" i="1"/>
  <c r="V67" i="1"/>
  <c r="U67" i="1"/>
  <c r="V66" i="1"/>
  <c r="U66" i="1"/>
  <c r="V65" i="1"/>
  <c r="U65" i="1"/>
  <c r="CQ64" i="1"/>
  <c r="BS64" i="1"/>
  <c r="BR64" i="1"/>
  <c r="BQ64" i="1"/>
  <c r="BP64" i="1"/>
  <c r="AZ64" i="1"/>
  <c r="AX64" i="1"/>
  <c r="AW64" i="1"/>
  <c r="AV64" i="1"/>
  <c r="AU64" i="1"/>
  <c r="AT64" i="1"/>
  <c r="AS64" i="1"/>
  <c r="AH64" i="1"/>
  <c r="X64" i="1"/>
  <c r="AI64" i="1" s="1"/>
  <c r="V64" i="1"/>
  <c r="AY64" i="1" s="1"/>
  <c r="U64" i="1"/>
  <c r="CQ63" i="1"/>
  <c r="BS63" i="1"/>
  <c r="BR63" i="1"/>
  <c r="BQ63" i="1"/>
  <c r="BP63" i="1"/>
  <c r="AZ63" i="1"/>
  <c r="AX63" i="1"/>
  <c r="AV63" i="1"/>
  <c r="AU63" i="1"/>
  <c r="AT63" i="1"/>
  <c r="AS63" i="1"/>
  <c r="AW63" i="1" s="1"/>
  <c r="X63" i="1"/>
  <c r="AI63" i="1" s="1"/>
  <c r="V63" i="1"/>
  <c r="T63" i="1"/>
  <c r="U63" i="1" s="1"/>
  <c r="E63" i="1"/>
  <c r="D63" i="1"/>
  <c r="D64" i="1" s="1"/>
  <c r="E64" i="1" s="1"/>
  <c r="CQ62" i="1"/>
  <c r="BX62" i="1"/>
  <c r="CD62" i="1" s="1"/>
  <c r="CJ62" i="1" s="1"/>
  <c r="BS62" i="1"/>
  <c r="BR62" i="1"/>
  <c r="BQ62" i="1"/>
  <c r="BC62" i="1"/>
  <c r="BB62" i="1"/>
  <c r="AZ62" i="1"/>
  <c r="AV62" i="1"/>
  <c r="AU62" i="1"/>
  <c r="AT62" i="1"/>
  <c r="AS62" i="1"/>
  <c r="AW62" i="1" s="1"/>
  <c r="AN62" i="1"/>
  <c r="BF62" i="1" s="1"/>
  <c r="AL62" i="1"/>
  <c r="AK62" i="1"/>
  <c r="AG62" i="1"/>
  <c r="AB62" i="1"/>
  <c r="AE62" i="1" s="1"/>
  <c r="AI62" i="1" s="1"/>
  <c r="X62" i="1"/>
  <c r="AH62" i="1" s="1"/>
  <c r="V62" i="1"/>
  <c r="AY62" i="1" s="1"/>
  <c r="T62" i="1"/>
  <c r="F62" i="1"/>
  <c r="BW62" i="1" s="1"/>
  <c r="CC62" i="1" s="1"/>
  <c r="E62" i="1"/>
  <c r="CQ61" i="1"/>
  <c r="BV61" i="1"/>
  <c r="CB61" i="1" s="1"/>
  <c r="BU61" i="1"/>
  <c r="CA61" i="1" s="1"/>
  <c r="CG61" i="1" s="1"/>
  <c r="BS61" i="1"/>
  <c r="BR61" i="1"/>
  <c r="BQ61" i="1"/>
  <c r="AZ61" i="1"/>
  <c r="AY61" i="1"/>
  <c r="AV61" i="1"/>
  <c r="AU61" i="1"/>
  <c r="AT61" i="1"/>
  <c r="AS61" i="1"/>
  <c r="AW61" i="1" s="1"/>
  <c r="AP61" i="1"/>
  <c r="BH61" i="1" s="1"/>
  <c r="AK61" i="1"/>
  <c r="BB61" i="1" s="1"/>
  <c r="AB61" i="1"/>
  <c r="AE61" i="1" s="1"/>
  <c r="P61" i="1"/>
  <c r="N61" i="1"/>
  <c r="F61" i="1"/>
  <c r="AN61" i="1" s="1"/>
  <c r="BF61" i="1" s="1"/>
  <c r="E61" i="1"/>
  <c r="CQ60" i="1"/>
  <c r="CB60" i="1"/>
  <c r="BV60" i="1"/>
  <c r="BS60" i="1"/>
  <c r="BR60" i="1"/>
  <c r="BQ60" i="1"/>
  <c r="BD60" i="1"/>
  <c r="AZ60" i="1"/>
  <c r="AY60" i="1"/>
  <c r="AV60" i="1"/>
  <c r="AU60" i="1"/>
  <c r="AT60" i="1"/>
  <c r="AW60" i="1" s="1"/>
  <c r="AS60" i="1"/>
  <c r="AP60" i="1"/>
  <c r="BH60" i="1" s="1"/>
  <c r="AN60" i="1"/>
  <c r="BF60" i="1" s="1"/>
  <c r="AM60" i="1"/>
  <c r="AL60" i="1"/>
  <c r="BC60" i="1" s="1"/>
  <c r="AK60" i="1"/>
  <c r="BB60" i="1" s="1"/>
  <c r="BG60" i="1" s="1"/>
  <c r="CS60" i="1" s="1"/>
  <c r="AE60" i="1"/>
  <c r="AB60" i="1"/>
  <c r="T60" i="1"/>
  <c r="BP60" i="1" s="1"/>
  <c r="BY60" i="1" s="1"/>
  <c r="CE60" i="1" s="1"/>
  <c r="P60" i="1"/>
  <c r="U60" i="1" s="1"/>
  <c r="F60" i="1"/>
  <c r="BX60" i="1" s="1"/>
  <c r="CD60" i="1" s="1"/>
  <c r="CJ60" i="1" s="1"/>
  <c r="E60" i="1"/>
  <c r="CQ59" i="1"/>
  <c r="BS59" i="1"/>
  <c r="BR59" i="1"/>
  <c r="BQ59" i="1"/>
  <c r="BH59" i="1"/>
  <c r="AZ59" i="1"/>
  <c r="AY59" i="1"/>
  <c r="AV59" i="1"/>
  <c r="AU59" i="1"/>
  <c r="AT59" i="1"/>
  <c r="AS59" i="1"/>
  <c r="AW59" i="1" s="1"/>
  <c r="AP59" i="1"/>
  <c r="AG59" i="1"/>
  <c r="AE59" i="1"/>
  <c r="AB59" i="1"/>
  <c r="P59" i="1"/>
  <c r="F59" i="1"/>
  <c r="E59" i="1"/>
  <c r="CQ58" i="1"/>
  <c r="BS58" i="1"/>
  <c r="BR58" i="1"/>
  <c r="BQ58" i="1"/>
  <c r="AZ58" i="1"/>
  <c r="AY58" i="1"/>
  <c r="AX58" i="1"/>
  <c r="AV58" i="1"/>
  <c r="AU58" i="1"/>
  <c r="AT58" i="1"/>
  <c r="AW58" i="1" s="1"/>
  <c r="AS58" i="1"/>
  <c r="AG58" i="1"/>
  <c r="AE58" i="1"/>
  <c r="AB58" i="1"/>
  <c r="AA58" i="1"/>
  <c r="AL58" i="1" s="1"/>
  <c r="BC58" i="1" s="1"/>
  <c r="T58" i="1"/>
  <c r="BP58" i="1" s="1"/>
  <c r="BY58" i="1" s="1"/>
  <c r="CE58" i="1" s="1"/>
  <c r="P58" i="1"/>
  <c r="U58" i="1" s="1"/>
  <c r="F58" i="1"/>
  <c r="AO58" i="1" s="1"/>
  <c r="BE58" i="1" s="1"/>
  <c r="E58" i="1"/>
  <c r="CQ57" i="1"/>
  <c r="BS57" i="1"/>
  <c r="BR57" i="1"/>
  <c r="BQ57" i="1"/>
  <c r="AZ57" i="1"/>
  <c r="AY57" i="1"/>
  <c r="AX57" i="1"/>
  <c r="AW57" i="1"/>
  <c r="AV57" i="1"/>
  <c r="AU57" i="1"/>
  <c r="AT57" i="1"/>
  <c r="AS57" i="1"/>
  <c r="AN57" i="1"/>
  <c r="BF57" i="1" s="1"/>
  <c r="AM57" i="1"/>
  <c r="BD57" i="1" s="1"/>
  <c r="AG57" i="1"/>
  <c r="AB57" i="1"/>
  <c r="AE57" i="1" s="1"/>
  <c r="AH57" i="1" s="1"/>
  <c r="U57" i="1"/>
  <c r="T57" i="1"/>
  <c r="BP57" i="1" s="1"/>
  <c r="BY57" i="1" s="1"/>
  <c r="CE57" i="1" s="1"/>
  <c r="CO57" i="1" s="1"/>
  <c r="P57" i="1"/>
  <c r="F57" i="1"/>
  <c r="AL57" i="1" s="1"/>
  <c r="BC57" i="1" s="1"/>
  <c r="E57" i="1"/>
  <c r="CQ56" i="1"/>
  <c r="BX56" i="1"/>
  <c r="CD56" i="1" s="1"/>
  <c r="CJ56" i="1" s="1"/>
  <c r="BS56" i="1"/>
  <c r="BR56" i="1"/>
  <c r="BQ56" i="1"/>
  <c r="BF56" i="1"/>
  <c r="BC56" i="1"/>
  <c r="AZ56" i="1"/>
  <c r="AY56" i="1"/>
  <c r="AW56" i="1"/>
  <c r="AV56" i="1"/>
  <c r="AU56" i="1"/>
  <c r="AT56" i="1"/>
  <c r="AS56" i="1"/>
  <c r="AN56" i="1"/>
  <c r="AL56" i="1"/>
  <c r="AK56" i="1"/>
  <c r="BB56" i="1" s="1"/>
  <c r="AG56" i="1"/>
  <c r="AB56" i="1"/>
  <c r="AE56" i="1" s="1"/>
  <c r="P56" i="1"/>
  <c r="F56" i="1"/>
  <c r="BW56" i="1" s="1"/>
  <c r="CC56" i="1" s="1"/>
  <c r="E56" i="1"/>
  <c r="CQ55" i="1"/>
  <c r="BU55" i="1"/>
  <c r="CA55" i="1" s="1"/>
  <c r="BS55" i="1"/>
  <c r="BR55" i="1"/>
  <c r="BQ55" i="1"/>
  <c r="AZ55" i="1"/>
  <c r="AY55" i="1"/>
  <c r="AV55" i="1"/>
  <c r="AU55" i="1"/>
  <c r="AT55" i="1"/>
  <c r="AW55" i="1" s="1"/>
  <c r="AS55" i="1"/>
  <c r="AQ55" i="1"/>
  <c r="BI55" i="1" s="1"/>
  <c r="AP55" i="1"/>
  <c r="BH55" i="1" s="1"/>
  <c r="AG55" i="1"/>
  <c r="AE55" i="1"/>
  <c r="AB55" i="1"/>
  <c r="P55" i="1"/>
  <c r="T55" i="1" s="1"/>
  <c r="F55" i="1"/>
  <c r="AK55" i="1" s="1"/>
  <c r="BB55" i="1" s="1"/>
  <c r="E55" i="1"/>
  <c r="CQ54" i="1"/>
  <c r="CJ54" i="1"/>
  <c r="CB54" i="1"/>
  <c r="CA54" i="1"/>
  <c r="BX54" i="1"/>
  <c r="CD54" i="1" s="1"/>
  <c r="BV54" i="1"/>
  <c r="BU54" i="1"/>
  <c r="BS54" i="1"/>
  <c r="BR54" i="1"/>
  <c r="BQ54" i="1"/>
  <c r="BH54" i="1"/>
  <c r="AZ54" i="1"/>
  <c r="AY54" i="1"/>
  <c r="AV54" i="1"/>
  <c r="AU54" i="1"/>
  <c r="AW54" i="1" s="1"/>
  <c r="AT54" i="1"/>
  <c r="AS54" i="1"/>
  <c r="AP54" i="1"/>
  <c r="AN54" i="1"/>
  <c r="BF54" i="1" s="1"/>
  <c r="AM54" i="1"/>
  <c r="BD54" i="1" s="1"/>
  <c r="AL54" i="1"/>
  <c r="BC54" i="1" s="1"/>
  <c r="AK54" i="1"/>
  <c r="BB54" i="1" s="1"/>
  <c r="AG54" i="1"/>
  <c r="AB54" i="1"/>
  <c r="AE54" i="1" s="1"/>
  <c r="T54" i="1"/>
  <c r="P54" i="1"/>
  <c r="F54" i="1"/>
  <c r="BW54" i="1" s="1"/>
  <c r="CC54" i="1" s="1"/>
  <c r="E54" i="1"/>
  <c r="CQ53" i="1"/>
  <c r="BS53" i="1"/>
  <c r="BR53" i="1"/>
  <c r="BQ53" i="1"/>
  <c r="AZ53" i="1"/>
  <c r="AY53" i="1"/>
  <c r="AV53" i="1"/>
  <c r="AU53" i="1"/>
  <c r="AT53" i="1"/>
  <c r="AS53" i="1"/>
  <c r="AW53" i="1" s="1"/>
  <c r="AI53" i="1"/>
  <c r="AG53" i="1"/>
  <c r="AE53" i="1"/>
  <c r="AB53" i="1"/>
  <c r="P53" i="1"/>
  <c r="T53" i="1" s="1"/>
  <c r="AH53" i="1" s="1"/>
  <c r="F53" i="1"/>
  <c r="E53" i="1"/>
  <c r="CQ52" i="1"/>
  <c r="BW52" i="1"/>
  <c r="CC52" i="1" s="1"/>
  <c r="BS52" i="1"/>
  <c r="BR52" i="1"/>
  <c r="BQ52" i="1"/>
  <c r="BB52" i="1"/>
  <c r="AZ52" i="1"/>
  <c r="AY52" i="1"/>
  <c r="AX52" i="1"/>
  <c r="AV52" i="1"/>
  <c r="AU52" i="1"/>
  <c r="AT52" i="1"/>
  <c r="AS52" i="1"/>
  <c r="AW52" i="1" s="1"/>
  <c r="AQ52" i="1"/>
  <c r="BI52" i="1" s="1"/>
  <c r="AP52" i="1"/>
  <c r="BH52" i="1" s="1"/>
  <c r="AO52" i="1"/>
  <c r="BE52" i="1" s="1"/>
  <c r="AE52" i="1"/>
  <c r="AH52" i="1" s="1"/>
  <c r="AB52" i="1"/>
  <c r="U52" i="1"/>
  <c r="T52" i="1"/>
  <c r="BP52" i="1" s="1"/>
  <c r="BY52" i="1" s="1"/>
  <c r="CE52" i="1" s="1"/>
  <c r="CO52" i="1" s="1"/>
  <c r="P52" i="1"/>
  <c r="F52" i="1"/>
  <c r="AK52" i="1" s="1"/>
  <c r="E52" i="1"/>
  <c r="CQ51" i="1"/>
  <c r="CI51" i="1"/>
  <c r="CA51" i="1"/>
  <c r="BX51" i="1"/>
  <c r="CD51" i="1" s="1"/>
  <c r="CJ51" i="1" s="1"/>
  <c r="BW51" i="1"/>
  <c r="CC51" i="1" s="1"/>
  <c r="BV51" i="1"/>
  <c r="CB51" i="1" s="1"/>
  <c r="CH51" i="1" s="1"/>
  <c r="BS51" i="1"/>
  <c r="BR51" i="1"/>
  <c r="BQ51" i="1"/>
  <c r="BI51" i="1"/>
  <c r="AZ51" i="1"/>
  <c r="AY51" i="1"/>
  <c r="AV51" i="1"/>
  <c r="AU51" i="1"/>
  <c r="AW51" i="1" s="1"/>
  <c r="AT51" i="1"/>
  <c r="AS51" i="1"/>
  <c r="AQ51" i="1"/>
  <c r="AP51" i="1"/>
  <c r="BH51" i="1" s="1"/>
  <c r="AN51" i="1"/>
  <c r="BF51" i="1" s="1"/>
  <c r="AM51" i="1"/>
  <c r="BD51" i="1" s="1"/>
  <c r="AL51" i="1"/>
  <c r="BC51" i="1" s="1"/>
  <c r="AK51" i="1"/>
  <c r="BB51" i="1" s="1"/>
  <c r="AE51" i="1"/>
  <c r="AB51" i="1"/>
  <c r="P51" i="1"/>
  <c r="T51" i="1" s="1"/>
  <c r="F51" i="1"/>
  <c r="BU51" i="1" s="1"/>
  <c r="E51" i="1"/>
  <c r="CQ50" i="1"/>
  <c r="BV50" i="1"/>
  <c r="CB50" i="1" s="1"/>
  <c r="BS50" i="1"/>
  <c r="BR50" i="1"/>
  <c r="BQ50" i="1"/>
  <c r="BH50" i="1"/>
  <c r="AZ50" i="1"/>
  <c r="AY50" i="1"/>
  <c r="AW50" i="1"/>
  <c r="AV50" i="1"/>
  <c r="AU50" i="1"/>
  <c r="AT50" i="1"/>
  <c r="AS50" i="1"/>
  <c r="AQ50" i="1"/>
  <c r="BI50" i="1" s="1"/>
  <c r="AP50" i="1"/>
  <c r="AN50" i="1"/>
  <c r="BF50" i="1" s="1"/>
  <c r="AM50" i="1"/>
  <c r="BD50" i="1" s="1"/>
  <c r="AE50" i="1"/>
  <c r="AB50" i="1"/>
  <c r="U50" i="1"/>
  <c r="T50" i="1"/>
  <c r="AX50" i="1" s="1"/>
  <c r="P50" i="1"/>
  <c r="F50" i="1"/>
  <c r="BU50" i="1" s="1"/>
  <c r="CA50" i="1" s="1"/>
  <c r="E50" i="1"/>
  <c r="CQ49" i="1"/>
  <c r="BS49" i="1"/>
  <c r="BR49" i="1"/>
  <c r="BQ49" i="1"/>
  <c r="AZ49" i="1"/>
  <c r="AY49" i="1"/>
  <c r="AV49" i="1"/>
  <c r="AU49" i="1"/>
  <c r="AT49" i="1"/>
  <c r="AS49" i="1"/>
  <c r="AL49" i="1"/>
  <c r="BC49" i="1" s="1"/>
  <c r="AB49" i="1"/>
  <c r="AE49" i="1" s="1"/>
  <c r="P49" i="1"/>
  <c r="F49" i="1"/>
  <c r="AK49" i="1" s="1"/>
  <c r="BB49" i="1" s="1"/>
  <c r="E49" i="1"/>
  <c r="CQ48" i="1"/>
  <c r="BV48" i="1"/>
  <c r="CB48" i="1" s="1"/>
  <c r="BS48" i="1"/>
  <c r="BR48" i="1"/>
  <c r="BQ48" i="1"/>
  <c r="AZ48" i="1"/>
  <c r="AY48" i="1"/>
  <c r="AW48" i="1"/>
  <c r="AV48" i="1"/>
  <c r="AU48" i="1"/>
  <c r="AT48" i="1"/>
  <c r="AS48" i="1"/>
  <c r="AP48" i="1"/>
  <c r="BH48" i="1" s="1"/>
  <c r="AN48" i="1"/>
  <c r="BF48" i="1" s="1"/>
  <c r="AM48" i="1"/>
  <c r="BD48" i="1" s="1"/>
  <c r="AG48" i="1"/>
  <c r="AB48" i="1"/>
  <c r="AE48" i="1" s="1"/>
  <c r="P48" i="1"/>
  <c r="F48" i="1"/>
  <c r="BU48" i="1" s="1"/>
  <c r="CA48" i="1" s="1"/>
  <c r="E48" i="1"/>
  <c r="CQ47" i="1"/>
  <c r="BS47" i="1"/>
  <c r="BR47" i="1"/>
  <c r="BQ47" i="1"/>
  <c r="BC47" i="1"/>
  <c r="AZ47" i="1"/>
  <c r="AY47" i="1"/>
  <c r="AV47" i="1"/>
  <c r="AU47" i="1"/>
  <c r="AT47" i="1"/>
  <c r="AS47" i="1"/>
  <c r="AW47" i="1" s="1"/>
  <c r="AM47" i="1"/>
  <c r="BD47" i="1" s="1"/>
  <c r="AL47" i="1"/>
  <c r="AK47" i="1"/>
  <c r="BB47" i="1" s="1"/>
  <c r="AG47" i="1"/>
  <c r="AE47" i="1"/>
  <c r="AB47" i="1"/>
  <c r="P47" i="1"/>
  <c r="T47" i="1" s="1"/>
  <c r="N47" i="1"/>
  <c r="F47" i="1"/>
  <c r="BX47" i="1" s="1"/>
  <c r="CD47" i="1" s="1"/>
  <c r="CJ47" i="1" s="1"/>
  <c r="E47" i="1"/>
  <c r="CQ46" i="1"/>
  <c r="BS46" i="1"/>
  <c r="BR46" i="1"/>
  <c r="BQ46" i="1"/>
  <c r="AZ46" i="1"/>
  <c r="AY46" i="1"/>
  <c r="AV46" i="1"/>
  <c r="AU46" i="1"/>
  <c r="AT46" i="1"/>
  <c r="AS46" i="1"/>
  <c r="AK46" i="1"/>
  <c r="BB46" i="1" s="1"/>
  <c r="AE46" i="1"/>
  <c r="AB46" i="1"/>
  <c r="P46" i="1"/>
  <c r="F46" i="1"/>
  <c r="E46" i="1"/>
  <c r="CQ45" i="1"/>
  <c r="BS45" i="1"/>
  <c r="BR45" i="1"/>
  <c r="BQ45" i="1"/>
  <c r="AZ45" i="1"/>
  <c r="AY45" i="1"/>
  <c r="AX45" i="1"/>
  <c r="AV45" i="1"/>
  <c r="AU45" i="1"/>
  <c r="AW45" i="1" s="1"/>
  <c r="AT45" i="1"/>
  <c r="AS45" i="1"/>
  <c r="AI45" i="1"/>
  <c r="AH45" i="1"/>
  <c r="AB45" i="1"/>
  <c r="AE45" i="1" s="1"/>
  <c r="U45" i="1"/>
  <c r="T45" i="1"/>
  <c r="BP45" i="1" s="1"/>
  <c r="P45" i="1"/>
  <c r="F45" i="1"/>
  <c r="BU45" i="1" s="1"/>
  <c r="CA45" i="1" s="1"/>
  <c r="E45" i="1"/>
  <c r="CQ44" i="1"/>
  <c r="BX44" i="1"/>
  <c r="CD44" i="1" s="1"/>
  <c r="CJ44" i="1" s="1"/>
  <c r="BW44" i="1"/>
  <c r="CC44" i="1" s="1"/>
  <c r="BV44" i="1"/>
  <c r="CB44" i="1" s="1"/>
  <c r="CH44" i="1" s="1"/>
  <c r="BS44" i="1"/>
  <c r="BR44" i="1"/>
  <c r="BQ44" i="1"/>
  <c r="BF44" i="1"/>
  <c r="AZ44" i="1"/>
  <c r="AY44" i="1"/>
  <c r="AW44" i="1"/>
  <c r="AV44" i="1"/>
  <c r="AU44" i="1"/>
  <c r="AT44" i="1"/>
  <c r="AS44" i="1"/>
  <c r="AN44" i="1"/>
  <c r="AM44" i="1"/>
  <c r="BD44" i="1" s="1"/>
  <c r="AL44" i="1"/>
  <c r="BC44" i="1" s="1"/>
  <c r="AE44" i="1"/>
  <c r="AB44" i="1"/>
  <c r="U44" i="1"/>
  <c r="T44" i="1"/>
  <c r="P44" i="1"/>
  <c r="F44" i="1"/>
  <c r="BU44" i="1" s="1"/>
  <c r="CA44" i="1" s="1"/>
  <c r="E44" i="1"/>
  <c r="CQ43" i="1"/>
  <c r="BS43" i="1"/>
  <c r="BR43" i="1"/>
  <c r="BQ43" i="1"/>
  <c r="AZ43" i="1"/>
  <c r="AY43" i="1"/>
  <c r="AV43" i="1"/>
  <c r="AU43" i="1"/>
  <c r="AT43" i="1"/>
  <c r="AS43" i="1"/>
  <c r="AW43" i="1" s="1"/>
  <c r="AI43" i="1"/>
  <c r="AE43" i="1"/>
  <c r="AB43" i="1"/>
  <c r="T43" i="1"/>
  <c r="BP43" i="1" s="1"/>
  <c r="P43" i="1"/>
  <c r="F43" i="1"/>
  <c r="E43" i="1"/>
  <c r="CQ42" i="1"/>
  <c r="CA42" i="1"/>
  <c r="BS42" i="1"/>
  <c r="BR42" i="1"/>
  <c r="BQ42" i="1"/>
  <c r="AZ42" i="1"/>
  <c r="AY42" i="1"/>
  <c r="AV42" i="1"/>
  <c r="AU42" i="1"/>
  <c r="AT42" i="1"/>
  <c r="AS42" i="1"/>
  <c r="AW42" i="1" s="1"/>
  <c r="AQ42" i="1"/>
  <c r="BI42" i="1" s="1"/>
  <c r="AE42" i="1"/>
  <c r="AB42" i="1"/>
  <c r="P42" i="1"/>
  <c r="F42" i="1"/>
  <c r="BU42" i="1" s="1"/>
  <c r="E42" i="1"/>
  <c r="CQ41" i="1"/>
  <c r="CB41" i="1"/>
  <c r="CA41" i="1"/>
  <c r="CG41" i="1" s="1"/>
  <c r="BX41" i="1"/>
  <c r="CD41" i="1" s="1"/>
  <c r="CJ41" i="1" s="1"/>
  <c r="BW41" i="1"/>
  <c r="CC41" i="1" s="1"/>
  <c r="BV41" i="1"/>
  <c r="BU41" i="1"/>
  <c r="BS41" i="1"/>
  <c r="BR41" i="1"/>
  <c r="BQ41" i="1"/>
  <c r="BH41" i="1"/>
  <c r="BF41" i="1"/>
  <c r="BB41" i="1"/>
  <c r="AZ41" i="1"/>
  <c r="AY41" i="1"/>
  <c r="AX41" i="1"/>
  <c r="AV41" i="1"/>
  <c r="AU41" i="1"/>
  <c r="AT41" i="1"/>
  <c r="AS41" i="1"/>
  <c r="AW41" i="1" s="1"/>
  <c r="AQ41" i="1"/>
  <c r="BI41" i="1" s="1"/>
  <c r="AP41" i="1"/>
  <c r="AO41" i="1"/>
  <c r="BE41" i="1" s="1"/>
  <c r="AN41" i="1"/>
  <c r="AM41" i="1"/>
  <c r="BD41" i="1" s="1"/>
  <c r="AE41" i="1"/>
  <c r="AH41" i="1" s="1"/>
  <c r="AB41" i="1"/>
  <c r="U41" i="1"/>
  <c r="T41" i="1"/>
  <c r="BP41" i="1" s="1"/>
  <c r="BY41" i="1" s="1"/>
  <c r="CE41" i="1" s="1"/>
  <c r="P41" i="1"/>
  <c r="F41" i="1"/>
  <c r="AK41" i="1" s="1"/>
  <c r="E41" i="1"/>
  <c r="CQ40" i="1"/>
  <c r="BW40" i="1"/>
  <c r="CC40" i="1" s="1"/>
  <c r="BS40" i="1"/>
  <c r="BR40" i="1"/>
  <c r="BQ40" i="1"/>
  <c r="AZ40" i="1"/>
  <c r="AY40" i="1"/>
  <c r="AV40" i="1"/>
  <c r="AU40" i="1"/>
  <c r="AT40" i="1"/>
  <c r="AS40" i="1"/>
  <c r="AW40" i="1" s="1"/>
  <c r="AQ40" i="1"/>
  <c r="BI40" i="1" s="1"/>
  <c r="AK40" i="1"/>
  <c r="BB40" i="1" s="1"/>
  <c r="AE40" i="1"/>
  <c r="AB40" i="1"/>
  <c r="P40" i="1"/>
  <c r="F40" i="1"/>
  <c r="BV40" i="1" s="1"/>
  <c r="CB40" i="1" s="1"/>
  <c r="E40" i="1"/>
  <c r="CQ39" i="1"/>
  <c r="CB39" i="1"/>
  <c r="CH39" i="1" s="1"/>
  <c r="BV39" i="1"/>
  <c r="BU39" i="1"/>
  <c r="CA39" i="1" s="1"/>
  <c r="BS39" i="1"/>
  <c r="BR39" i="1"/>
  <c r="BQ39" i="1"/>
  <c r="AZ39" i="1"/>
  <c r="AY39" i="1"/>
  <c r="AW39" i="1"/>
  <c r="AV39" i="1"/>
  <c r="AU39" i="1"/>
  <c r="AT39" i="1"/>
  <c r="AS39" i="1"/>
  <c r="AP39" i="1"/>
  <c r="BH39" i="1" s="1"/>
  <c r="AN39" i="1"/>
  <c r="BF39" i="1" s="1"/>
  <c r="AM39" i="1"/>
  <c r="BD39" i="1" s="1"/>
  <c r="AL39" i="1"/>
  <c r="BC39" i="1" s="1"/>
  <c r="AK39" i="1"/>
  <c r="BB39" i="1" s="1"/>
  <c r="AB39" i="1"/>
  <c r="AE39" i="1" s="1"/>
  <c r="T39" i="1"/>
  <c r="P39" i="1"/>
  <c r="F39" i="1"/>
  <c r="BX39" i="1" s="1"/>
  <c r="CD39" i="1" s="1"/>
  <c r="CJ39" i="1" s="1"/>
  <c r="E39" i="1"/>
  <c r="CQ38" i="1"/>
  <c r="BW38" i="1"/>
  <c r="CC38" i="1" s="1"/>
  <c r="BS38" i="1"/>
  <c r="BR38" i="1"/>
  <c r="BQ38" i="1"/>
  <c r="BC38" i="1"/>
  <c r="AZ38" i="1"/>
  <c r="AY38" i="1"/>
  <c r="AV38" i="1"/>
  <c r="AU38" i="1"/>
  <c r="AT38" i="1"/>
  <c r="AS38" i="1"/>
  <c r="AW38" i="1" s="1"/>
  <c r="AQ38" i="1"/>
  <c r="BI38" i="1" s="1"/>
  <c r="AL38" i="1"/>
  <c r="AK38" i="1"/>
  <c r="BB38" i="1" s="1"/>
  <c r="AE38" i="1"/>
  <c r="AB38" i="1"/>
  <c r="P38" i="1"/>
  <c r="F38" i="1"/>
  <c r="BV38" i="1" s="1"/>
  <c r="CB38" i="1" s="1"/>
  <c r="CH38" i="1" s="1"/>
  <c r="E38" i="1"/>
  <c r="CQ37" i="1"/>
  <c r="CB37" i="1"/>
  <c r="BV37" i="1"/>
  <c r="BU37" i="1"/>
  <c r="CA37" i="1" s="1"/>
  <c r="CG37" i="1" s="1"/>
  <c r="BS37" i="1"/>
  <c r="BR37" i="1"/>
  <c r="BQ37" i="1"/>
  <c r="AZ37" i="1"/>
  <c r="AY37" i="1"/>
  <c r="AV37" i="1"/>
  <c r="AU37" i="1"/>
  <c r="AW37" i="1" s="1"/>
  <c r="AT37" i="1"/>
  <c r="AS37" i="1"/>
  <c r="AP37" i="1"/>
  <c r="BH37" i="1" s="1"/>
  <c r="AN37" i="1"/>
  <c r="BF37" i="1" s="1"/>
  <c r="AM37" i="1"/>
  <c r="BD37" i="1" s="1"/>
  <c r="AL37" i="1"/>
  <c r="BC37" i="1" s="1"/>
  <c r="AK37" i="1"/>
  <c r="BB37" i="1" s="1"/>
  <c r="BG37" i="1" s="1"/>
  <c r="CS37" i="1" s="1"/>
  <c r="AB37" i="1"/>
  <c r="AE37" i="1" s="1"/>
  <c r="T37" i="1"/>
  <c r="P37" i="1"/>
  <c r="F37" i="1"/>
  <c r="BX37" i="1" s="1"/>
  <c r="CD37" i="1" s="1"/>
  <c r="CJ37" i="1" s="1"/>
  <c r="E37" i="1"/>
  <c r="CQ36" i="1"/>
  <c r="BW36" i="1"/>
  <c r="CC36" i="1" s="1"/>
  <c r="BS36" i="1"/>
  <c r="BR36" i="1"/>
  <c r="BQ36" i="1"/>
  <c r="BC36" i="1"/>
  <c r="AZ36" i="1"/>
  <c r="AY36" i="1"/>
  <c r="AV36" i="1"/>
  <c r="AU36" i="1"/>
  <c r="AT36" i="1"/>
  <c r="AS36" i="1"/>
  <c r="AW36" i="1" s="1"/>
  <c r="AQ36" i="1"/>
  <c r="BI36" i="1" s="1"/>
  <c r="AP36" i="1"/>
  <c r="BH36" i="1" s="1"/>
  <c r="AL36" i="1"/>
  <c r="AK36" i="1"/>
  <c r="BB36" i="1" s="1"/>
  <c r="AE36" i="1"/>
  <c r="AB36" i="1"/>
  <c r="P36" i="1"/>
  <c r="F36" i="1"/>
  <c r="BV36" i="1" s="1"/>
  <c r="CB36" i="1" s="1"/>
  <c r="CH36" i="1" s="1"/>
  <c r="E36" i="1"/>
  <c r="CQ35" i="1"/>
  <c r="CB35" i="1"/>
  <c r="CH35" i="1" s="1"/>
  <c r="BV35" i="1"/>
  <c r="BU35" i="1"/>
  <c r="CA35" i="1" s="1"/>
  <c r="BS35" i="1"/>
  <c r="BR35" i="1"/>
  <c r="BQ35" i="1"/>
  <c r="AZ35" i="1"/>
  <c r="AY35" i="1"/>
  <c r="AV35" i="1"/>
  <c r="AU35" i="1"/>
  <c r="AT35" i="1"/>
  <c r="AW35" i="1" s="1"/>
  <c r="AS35" i="1"/>
  <c r="AP35" i="1"/>
  <c r="BH35" i="1" s="1"/>
  <c r="AN35" i="1"/>
  <c r="BF35" i="1" s="1"/>
  <c r="AM35" i="1"/>
  <c r="BD35" i="1" s="1"/>
  <c r="AL35" i="1"/>
  <c r="BC35" i="1" s="1"/>
  <c r="AK35" i="1"/>
  <c r="BB35" i="1" s="1"/>
  <c r="AB35" i="1"/>
  <c r="AE35" i="1" s="1"/>
  <c r="T35" i="1"/>
  <c r="P35" i="1"/>
  <c r="U35" i="1" s="1"/>
  <c r="F35" i="1"/>
  <c r="BX35" i="1" s="1"/>
  <c r="CD35" i="1" s="1"/>
  <c r="CJ35" i="1" s="1"/>
  <c r="E35" i="1"/>
  <c r="CQ34" i="1"/>
  <c r="BW34" i="1"/>
  <c r="CC34" i="1" s="1"/>
  <c r="BV34" i="1"/>
  <c r="CB34" i="1" s="1"/>
  <c r="CH34" i="1" s="1"/>
  <c r="BS34" i="1"/>
  <c r="BR34" i="1"/>
  <c r="BQ34" i="1"/>
  <c r="BC34" i="1"/>
  <c r="AZ34" i="1"/>
  <c r="AY34" i="1"/>
  <c r="AV34" i="1"/>
  <c r="AU34" i="1"/>
  <c r="AT34" i="1"/>
  <c r="AS34" i="1"/>
  <c r="AW34" i="1" s="1"/>
  <c r="AQ34" i="1"/>
  <c r="BI34" i="1" s="1"/>
  <c r="AP34" i="1"/>
  <c r="BH34" i="1" s="1"/>
  <c r="AL34" i="1"/>
  <c r="AK34" i="1"/>
  <c r="BB34" i="1" s="1"/>
  <c r="AE34" i="1"/>
  <c r="AB34" i="1"/>
  <c r="P34" i="1"/>
  <c r="F34" i="1"/>
  <c r="BU34" i="1" s="1"/>
  <c r="CA34" i="1" s="1"/>
  <c r="CG34" i="1" s="1"/>
  <c r="E34" i="1"/>
  <c r="CQ33" i="1"/>
  <c r="CB33" i="1"/>
  <c r="BV33" i="1"/>
  <c r="BU33" i="1"/>
  <c r="CA33" i="1" s="1"/>
  <c r="BS33" i="1"/>
  <c r="BR33" i="1"/>
  <c r="BQ33" i="1"/>
  <c r="AZ33" i="1"/>
  <c r="AY33" i="1"/>
  <c r="AX33" i="1"/>
  <c r="AV33" i="1"/>
  <c r="AU33" i="1"/>
  <c r="AT33" i="1"/>
  <c r="AW33" i="1" s="1"/>
  <c r="AS33" i="1"/>
  <c r="AP33" i="1"/>
  <c r="BH33" i="1" s="1"/>
  <c r="AN33" i="1"/>
  <c r="BF33" i="1" s="1"/>
  <c r="AM33" i="1"/>
  <c r="BD33" i="1" s="1"/>
  <c r="AL33" i="1"/>
  <c r="BC33" i="1" s="1"/>
  <c r="AK33" i="1"/>
  <c r="BB33" i="1" s="1"/>
  <c r="BG33" i="1" s="1"/>
  <c r="CS33" i="1" s="1"/>
  <c r="AB33" i="1"/>
  <c r="AE33" i="1" s="1"/>
  <c r="T33" i="1"/>
  <c r="AO33" i="1" s="1"/>
  <c r="BE33" i="1" s="1"/>
  <c r="P33" i="1"/>
  <c r="U33" i="1" s="1"/>
  <c r="F33" i="1"/>
  <c r="BX33" i="1" s="1"/>
  <c r="CD33" i="1" s="1"/>
  <c r="CJ33" i="1" s="1"/>
  <c r="E33" i="1"/>
  <c r="CQ32" i="1"/>
  <c r="CA32" i="1"/>
  <c r="BW32" i="1"/>
  <c r="CC32" i="1" s="1"/>
  <c r="BV32" i="1"/>
  <c r="CB32" i="1" s="1"/>
  <c r="CH32" i="1" s="1"/>
  <c r="BU32" i="1"/>
  <c r="BS32" i="1"/>
  <c r="BR32" i="1"/>
  <c r="BQ32" i="1"/>
  <c r="BC32" i="1"/>
  <c r="AZ32" i="1"/>
  <c r="AY32" i="1"/>
  <c r="AV32" i="1"/>
  <c r="AU32" i="1"/>
  <c r="AT32" i="1"/>
  <c r="AS32" i="1"/>
  <c r="AW32" i="1" s="1"/>
  <c r="AQ32" i="1"/>
  <c r="BI32" i="1" s="1"/>
  <c r="AP32" i="1"/>
  <c r="BH32" i="1" s="1"/>
  <c r="AL32" i="1"/>
  <c r="AK32" i="1"/>
  <c r="BB32" i="1" s="1"/>
  <c r="AE32" i="1"/>
  <c r="AB32" i="1"/>
  <c r="P32" i="1"/>
  <c r="F32" i="1"/>
  <c r="AN32" i="1" s="1"/>
  <c r="BF32" i="1" s="1"/>
  <c r="E32" i="1"/>
  <c r="CQ31" i="1"/>
  <c r="BV31" i="1"/>
  <c r="CB31" i="1" s="1"/>
  <c r="CH31" i="1" s="1"/>
  <c r="BU31" i="1"/>
  <c r="CA31" i="1" s="1"/>
  <c r="CG31" i="1" s="1"/>
  <c r="BS31" i="1"/>
  <c r="BR31" i="1"/>
  <c r="BQ31" i="1"/>
  <c r="BD31" i="1"/>
  <c r="BG31" i="1" s="1"/>
  <c r="CS31" i="1" s="1"/>
  <c r="AZ31" i="1"/>
  <c r="AY31" i="1"/>
  <c r="AV31" i="1"/>
  <c r="AU31" i="1"/>
  <c r="AT31" i="1"/>
  <c r="AW31" i="1" s="1"/>
  <c r="AS31" i="1"/>
  <c r="AP31" i="1"/>
  <c r="BH31" i="1" s="1"/>
  <c r="AN31" i="1"/>
  <c r="BF31" i="1" s="1"/>
  <c r="AM31" i="1"/>
  <c r="AL31" i="1"/>
  <c r="BC31" i="1" s="1"/>
  <c r="AK31" i="1"/>
  <c r="BB31" i="1" s="1"/>
  <c r="AE31" i="1"/>
  <c r="AB31" i="1"/>
  <c r="T31" i="1"/>
  <c r="AO31" i="1" s="1"/>
  <c r="BE31" i="1" s="1"/>
  <c r="P31" i="1"/>
  <c r="F31" i="1"/>
  <c r="BX31" i="1" s="1"/>
  <c r="CD31" i="1" s="1"/>
  <c r="CJ31" i="1" s="1"/>
  <c r="E31" i="1"/>
  <c r="CQ30" i="1"/>
  <c r="CA30" i="1"/>
  <c r="CG30" i="1" s="1"/>
  <c r="BW30" i="1"/>
  <c r="CC30" i="1" s="1"/>
  <c r="BV30" i="1"/>
  <c r="CB30" i="1" s="1"/>
  <c r="BU30" i="1"/>
  <c r="BS30" i="1"/>
  <c r="BR30" i="1"/>
  <c r="BQ30" i="1"/>
  <c r="BI30" i="1"/>
  <c r="AZ30" i="1"/>
  <c r="AY30" i="1"/>
  <c r="AV30" i="1"/>
  <c r="AU30" i="1"/>
  <c r="AT30" i="1"/>
  <c r="AS30" i="1"/>
  <c r="AQ30" i="1"/>
  <c r="AP30" i="1"/>
  <c r="BH30" i="1" s="1"/>
  <c r="AL30" i="1"/>
  <c r="BC30" i="1" s="1"/>
  <c r="AK30" i="1"/>
  <c r="BB30" i="1" s="1"/>
  <c r="AE30" i="1"/>
  <c r="AB30" i="1"/>
  <c r="P30" i="1"/>
  <c r="F30" i="1"/>
  <c r="AN30" i="1" s="1"/>
  <c r="BF30" i="1" s="1"/>
  <c r="E30" i="1"/>
  <c r="CQ29" i="1"/>
  <c r="CJ29" i="1"/>
  <c r="CD29" i="1"/>
  <c r="BX29" i="1"/>
  <c r="BV29" i="1"/>
  <c r="CB29" i="1" s="1"/>
  <c r="CH29" i="1" s="1"/>
  <c r="BU29" i="1"/>
  <c r="CA29" i="1" s="1"/>
  <c r="CG29" i="1" s="1"/>
  <c r="CL29" i="1" s="1"/>
  <c r="BS29" i="1"/>
  <c r="BR29" i="1"/>
  <c r="BQ29" i="1"/>
  <c r="BD29" i="1"/>
  <c r="CI29" i="1" s="1"/>
  <c r="BC29" i="1"/>
  <c r="AZ29" i="1"/>
  <c r="AY29" i="1"/>
  <c r="AV29" i="1"/>
  <c r="AU29" i="1"/>
  <c r="AT29" i="1"/>
  <c r="AS29" i="1"/>
  <c r="AP29" i="1"/>
  <c r="BH29" i="1" s="1"/>
  <c r="AN29" i="1"/>
  <c r="BF29" i="1" s="1"/>
  <c r="AM29" i="1"/>
  <c r="AL29" i="1"/>
  <c r="AK29" i="1"/>
  <c r="BB29" i="1" s="1"/>
  <c r="BG29" i="1" s="1"/>
  <c r="CS29" i="1" s="1"/>
  <c r="AB29" i="1"/>
  <c r="AE29" i="1" s="1"/>
  <c r="T29" i="1"/>
  <c r="P29" i="1"/>
  <c r="G29" i="1"/>
  <c r="F29" i="1"/>
  <c r="BW29" i="1" s="1"/>
  <c r="CC29" i="1" s="1"/>
  <c r="E29" i="1"/>
  <c r="CQ28" i="1"/>
  <c r="CB28" i="1"/>
  <c r="BV28" i="1"/>
  <c r="BS28" i="1"/>
  <c r="BR28" i="1"/>
  <c r="BQ28" i="1"/>
  <c r="BC28" i="1"/>
  <c r="AZ28" i="1"/>
  <c r="AY28" i="1"/>
  <c r="AV28" i="1"/>
  <c r="AU28" i="1"/>
  <c r="AT28" i="1"/>
  <c r="AS28" i="1"/>
  <c r="AQ28" i="1"/>
  <c r="BI28" i="1" s="1"/>
  <c r="AP28" i="1"/>
  <c r="BH28" i="1" s="1"/>
  <c r="AL28" i="1"/>
  <c r="AE28" i="1"/>
  <c r="AB28" i="1"/>
  <c r="T28" i="1"/>
  <c r="P28" i="1"/>
  <c r="G28" i="1"/>
  <c r="F28" i="1"/>
  <c r="E28" i="1"/>
  <c r="CQ27" i="1"/>
  <c r="BS27" i="1"/>
  <c r="BR27" i="1"/>
  <c r="BQ27" i="1"/>
  <c r="AZ27" i="1"/>
  <c r="AY27" i="1"/>
  <c r="AX27" i="1"/>
  <c r="AV27" i="1"/>
  <c r="AU27" i="1"/>
  <c r="AT27" i="1"/>
  <c r="AS27" i="1"/>
  <c r="AW27" i="1" s="1"/>
  <c r="AH27" i="1"/>
  <c r="AE27" i="1"/>
  <c r="AI27" i="1" s="1"/>
  <c r="AB27" i="1"/>
  <c r="U27" i="1"/>
  <c r="T27" i="1"/>
  <c r="BP27" i="1" s="1"/>
  <c r="P27" i="1"/>
  <c r="G27" i="1"/>
  <c r="F27" i="1"/>
  <c r="E27" i="1"/>
  <c r="CQ26" i="1"/>
  <c r="BY26" i="1"/>
  <c r="CE26" i="1" s="1"/>
  <c r="CO26" i="1" s="1"/>
  <c r="BS26" i="1"/>
  <c r="BR26" i="1"/>
  <c r="BQ26" i="1"/>
  <c r="BP26" i="1"/>
  <c r="BB26" i="1"/>
  <c r="AZ26" i="1"/>
  <c r="AY26" i="1"/>
  <c r="AV26" i="1"/>
  <c r="AU26" i="1"/>
  <c r="AT26" i="1"/>
  <c r="AS26" i="1"/>
  <c r="AW26" i="1" s="1"/>
  <c r="AQ26" i="1"/>
  <c r="BI26" i="1" s="1"/>
  <c r="AK26" i="1"/>
  <c r="AH26" i="1"/>
  <c r="AB26" i="1"/>
  <c r="AE26" i="1" s="1"/>
  <c r="T26" i="1"/>
  <c r="AO26" i="1" s="1"/>
  <c r="BE26" i="1" s="1"/>
  <c r="P26" i="1"/>
  <c r="U26" i="1" s="1"/>
  <c r="G26" i="1"/>
  <c r="F26" i="1"/>
  <c r="E26" i="1"/>
  <c r="CQ25" i="1"/>
  <c r="CJ25" i="1"/>
  <c r="BY25" i="1"/>
  <c r="CE25" i="1" s="1"/>
  <c r="BX25" i="1"/>
  <c r="CD25" i="1" s="1"/>
  <c r="BS25" i="1"/>
  <c r="BR25" i="1"/>
  <c r="BQ25" i="1"/>
  <c r="BP25" i="1"/>
  <c r="BD25" i="1"/>
  <c r="BB25" i="1"/>
  <c r="AZ25" i="1"/>
  <c r="AY25" i="1"/>
  <c r="AX25" i="1"/>
  <c r="AV25" i="1"/>
  <c r="AU25" i="1"/>
  <c r="AT25" i="1"/>
  <c r="AS25" i="1"/>
  <c r="AW25" i="1" s="1"/>
  <c r="AQ25" i="1"/>
  <c r="BI25" i="1" s="1"/>
  <c r="AK25" i="1"/>
  <c r="AE25" i="1"/>
  <c r="AI25" i="1" s="1"/>
  <c r="AB25" i="1"/>
  <c r="U25" i="1"/>
  <c r="P25" i="1"/>
  <c r="T25" i="1" s="1"/>
  <c r="G25" i="1"/>
  <c r="F25" i="1"/>
  <c r="AM25" i="1" s="1"/>
  <c r="E25" i="1"/>
  <c r="CQ24" i="1"/>
  <c r="BS24" i="1"/>
  <c r="BR24" i="1"/>
  <c r="BQ24" i="1"/>
  <c r="AZ24" i="1"/>
  <c r="AY24" i="1"/>
  <c r="AV24" i="1"/>
  <c r="AU24" i="1"/>
  <c r="AT24" i="1"/>
  <c r="AS24" i="1"/>
  <c r="AK24" i="1"/>
  <c r="BB24" i="1" s="1"/>
  <c r="AE24" i="1"/>
  <c r="AB24" i="1"/>
  <c r="P24" i="1"/>
  <c r="F24" i="1"/>
  <c r="E24" i="1"/>
  <c r="CQ23" i="1"/>
  <c r="CC23" i="1"/>
  <c r="CI23" i="1" s="1"/>
  <c r="BW23" i="1"/>
  <c r="BU23" i="1"/>
  <c r="CA23" i="1" s="1"/>
  <c r="BS23" i="1"/>
  <c r="BR23" i="1"/>
  <c r="BQ23" i="1"/>
  <c r="BF23" i="1"/>
  <c r="AZ23" i="1"/>
  <c r="AY23" i="1"/>
  <c r="AX23" i="1"/>
  <c r="AW23" i="1"/>
  <c r="AV23" i="1"/>
  <c r="AU23" i="1"/>
  <c r="AT23" i="1"/>
  <c r="AS23" i="1"/>
  <c r="AQ23" i="1"/>
  <c r="BI23" i="1" s="1"/>
  <c r="AP23" i="1"/>
  <c r="BH23" i="1" s="1"/>
  <c r="AO23" i="1"/>
  <c r="BE23" i="1" s="1"/>
  <c r="AN23" i="1"/>
  <c r="AL23" i="1"/>
  <c r="BC23" i="1" s="1"/>
  <c r="AB23" i="1"/>
  <c r="AE23" i="1" s="1"/>
  <c r="AH23" i="1" s="1"/>
  <c r="U23" i="1"/>
  <c r="T23" i="1"/>
  <c r="BP23" i="1" s="1"/>
  <c r="BY23" i="1" s="1"/>
  <c r="CE23" i="1" s="1"/>
  <c r="P23" i="1"/>
  <c r="F23" i="1"/>
  <c r="AM23" i="1" s="1"/>
  <c r="BD23" i="1" s="1"/>
  <c r="E23" i="1"/>
  <c r="CQ22" i="1"/>
  <c r="BX22" i="1"/>
  <c r="CD22" i="1" s="1"/>
  <c r="CJ22" i="1" s="1"/>
  <c r="BS22" i="1"/>
  <c r="BR22" i="1"/>
  <c r="BQ22" i="1"/>
  <c r="BB22" i="1"/>
  <c r="AZ22" i="1"/>
  <c r="AY22" i="1"/>
  <c r="AV22" i="1"/>
  <c r="AU22" i="1"/>
  <c r="AT22" i="1"/>
  <c r="AS22" i="1"/>
  <c r="AW22" i="1" s="1"/>
  <c r="AK22" i="1"/>
  <c r="AE22" i="1"/>
  <c r="AB22" i="1"/>
  <c r="P22" i="1"/>
  <c r="F22" i="1"/>
  <c r="E22" i="1"/>
  <c r="CQ21" i="1"/>
  <c r="CC21" i="1"/>
  <c r="BW21" i="1"/>
  <c r="BV21" i="1"/>
  <c r="CB21" i="1" s="1"/>
  <c r="BU21" i="1"/>
  <c r="CA21" i="1" s="1"/>
  <c r="BS21" i="1"/>
  <c r="BR21" i="1"/>
  <c r="BQ21" i="1"/>
  <c r="AZ21" i="1"/>
  <c r="AY21" i="1"/>
  <c r="AX21" i="1"/>
  <c r="AW21" i="1"/>
  <c r="AV21" i="1"/>
  <c r="AU21" i="1"/>
  <c r="AT21" i="1"/>
  <c r="AS21" i="1"/>
  <c r="AQ21" i="1"/>
  <c r="BI21" i="1" s="1"/>
  <c r="AP21" i="1"/>
  <c r="BH21" i="1" s="1"/>
  <c r="AO21" i="1"/>
  <c r="BE21" i="1" s="1"/>
  <c r="AN21" i="1"/>
  <c r="BF21" i="1" s="1"/>
  <c r="BG21" i="1" s="1"/>
  <c r="CS21" i="1" s="1"/>
  <c r="AM21" i="1"/>
  <c r="BD21" i="1" s="1"/>
  <c r="AL21" i="1"/>
  <c r="BC21" i="1" s="1"/>
  <c r="AB21" i="1"/>
  <c r="AE21" i="1" s="1"/>
  <c r="AH21" i="1" s="1"/>
  <c r="U21" i="1"/>
  <c r="T21" i="1"/>
  <c r="BP21" i="1" s="1"/>
  <c r="BY21" i="1" s="1"/>
  <c r="CE21" i="1" s="1"/>
  <c r="P21" i="1"/>
  <c r="F21" i="1"/>
  <c r="AK21" i="1" s="1"/>
  <c r="BB21" i="1" s="1"/>
  <c r="E21" i="1"/>
  <c r="CQ20" i="1"/>
  <c r="BS20" i="1"/>
  <c r="BR20" i="1"/>
  <c r="BQ20" i="1"/>
  <c r="AZ20" i="1"/>
  <c r="AY20" i="1"/>
  <c r="AV20" i="1"/>
  <c r="AU20" i="1"/>
  <c r="AT20" i="1"/>
  <c r="AS20" i="1"/>
  <c r="AE20" i="1"/>
  <c r="AB20" i="1"/>
  <c r="P20" i="1"/>
  <c r="F20" i="1"/>
  <c r="E20" i="1"/>
  <c r="CQ19" i="1"/>
  <c r="CC19" i="1"/>
  <c r="CI19" i="1" s="1"/>
  <c r="BW19" i="1"/>
  <c r="BV19" i="1"/>
  <c r="CB19" i="1" s="1"/>
  <c r="CH19" i="1" s="1"/>
  <c r="BU19" i="1"/>
  <c r="CA19" i="1" s="1"/>
  <c r="CG19" i="1" s="1"/>
  <c r="CL19" i="1" s="1"/>
  <c r="CM19" i="1" s="1"/>
  <c r="CR19" i="1" s="1"/>
  <c r="BS19" i="1"/>
  <c r="BR19" i="1"/>
  <c r="BQ19" i="1"/>
  <c r="AZ19" i="1"/>
  <c r="AY19" i="1"/>
  <c r="AX19" i="1"/>
  <c r="AW19" i="1"/>
  <c r="AV19" i="1"/>
  <c r="AU19" i="1"/>
  <c r="AT19" i="1"/>
  <c r="AS19" i="1"/>
  <c r="AQ19" i="1"/>
  <c r="BI19" i="1" s="1"/>
  <c r="AP19" i="1"/>
  <c r="BH19" i="1" s="1"/>
  <c r="AO19" i="1"/>
  <c r="BE19" i="1" s="1"/>
  <c r="AN19" i="1"/>
  <c r="BF19" i="1" s="1"/>
  <c r="AM19" i="1"/>
  <c r="BD19" i="1" s="1"/>
  <c r="AL19" i="1"/>
  <c r="BC19" i="1" s="1"/>
  <c r="AB19" i="1"/>
  <c r="AE19" i="1" s="1"/>
  <c r="AH19" i="1" s="1"/>
  <c r="U19" i="1"/>
  <c r="T19" i="1"/>
  <c r="BP19" i="1" s="1"/>
  <c r="BY19" i="1" s="1"/>
  <c r="CE19" i="1" s="1"/>
  <c r="P19" i="1"/>
  <c r="F19" i="1"/>
  <c r="AK19" i="1" s="1"/>
  <c r="BB19" i="1" s="1"/>
  <c r="BG19" i="1" s="1"/>
  <c r="CS19" i="1" s="1"/>
  <c r="E19" i="1"/>
  <c r="CQ18" i="1"/>
  <c r="BX18" i="1"/>
  <c r="CD18" i="1" s="1"/>
  <c r="CJ18" i="1" s="1"/>
  <c r="BS18" i="1"/>
  <c r="BR18" i="1"/>
  <c r="BQ18" i="1"/>
  <c r="BB18" i="1"/>
  <c r="AZ18" i="1"/>
  <c r="AY18" i="1"/>
  <c r="AV18" i="1"/>
  <c r="AU18" i="1"/>
  <c r="AT18" i="1"/>
  <c r="AS18" i="1"/>
  <c r="AW18" i="1" s="1"/>
  <c r="AK18" i="1"/>
  <c r="AE18" i="1"/>
  <c r="AB18" i="1"/>
  <c r="P18" i="1"/>
  <c r="F18" i="1"/>
  <c r="E18" i="1"/>
  <c r="CQ17" i="1"/>
  <c r="CC17" i="1"/>
  <c r="CI17" i="1" s="1"/>
  <c r="BW17" i="1"/>
  <c r="BV17" i="1"/>
  <c r="CB17" i="1" s="1"/>
  <c r="BU17" i="1"/>
  <c r="CA17" i="1" s="1"/>
  <c r="BS17" i="1"/>
  <c r="BR17" i="1"/>
  <c r="BQ17" i="1"/>
  <c r="BF17" i="1"/>
  <c r="AZ17" i="1"/>
  <c r="AY17" i="1"/>
  <c r="AX17" i="1"/>
  <c r="AW17" i="1"/>
  <c r="AV17" i="1"/>
  <c r="AU17" i="1"/>
  <c r="AT17" i="1"/>
  <c r="AS17" i="1"/>
  <c r="AQ17" i="1"/>
  <c r="BI17" i="1" s="1"/>
  <c r="AP17" i="1"/>
  <c r="BH17" i="1" s="1"/>
  <c r="AO17" i="1"/>
  <c r="BE17" i="1" s="1"/>
  <c r="AN17" i="1"/>
  <c r="AM17" i="1"/>
  <c r="BD17" i="1" s="1"/>
  <c r="AL17" i="1"/>
  <c r="BC17" i="1" s="1"/>
  <c r="BG17" i="1" s="1"/>
  <c r="CS17" i="1" s="1"/>
  <c r="AB17" i="1"/>
  <c r="AE17" i="1" s="1"/>
  <c r="AH17" i="1" s="1"/>
  <c r="U17" i="1"/>
  <c r="T17" i="1"/>
  <c r="BP17" i="1" s="1"/>
  <c r="BY17" i="1" s="1"/>
  <c r="CE17" i="1" s="1"/>
  <c r="P17" i="1"/>
  <c r="F17" i="1"/>
  <c r="AK17" i="1" s="1"/>
  <c r="BB17" i="1" s="1"/>
  <c r="E17" i="1"/>
  <c r="CQ16" i="1"/>
  <c r="BX16" i="1"/>
  <c r="CD16" i="1" s="1"/>
  <c r="CJ16" i="1" s="1"/>
  <c r="BS16" i="1"/>
  <c r="BR16" i="1"/>
  <c r="BQ16" i="1"/>
  <c r="AZ16" i="1"/>
  <c r="AY16" i="1"/>
  <c r="AV16" i="1"/>
  <c r="AU16" i="1"/>
  <c r="AT16" i="1"/>
  <c r="AS16" i="1"/>
  <c r="AM16" i="1"/>
  <c r="BD16" i="1" s="1"/>
  <c r="AK16" i="1"/>
  <c r="BB16" i="1" s="1"/>
  <c r="AE16" i="1"/>
  <c r="AB16" i="1"/>
  <c r="T16" i="1"/>
  <c r="BP16" i="1" s="1"/>
  <c r="BY16" i="1" s="1"/>
  <c r="CE16" i="1" s="1"/>
  <c r="P16" i="1"/>
  <c r="F16" i="1"/>
  <c r="E16" i="1"/>
  <c r="CQ15" i="1"/>
  <c r="CC15" i="1"/>
  <c r="CB15" i="1"/>
  <c r="CH15" i="1" s="1"/>
  <c r="CA15" i="1"/>
  <c r="CG15" i="1" s="1"/>
  <c r="BW15" i="1"/>
  <c r="BV15" i="1"/>
  <c r="BU15" i="1"/>
  <c r="BS15" i="1"/>
  <c r="BR15" i="1"/>
  <c r="BQ15" i="1"/>
  <c r="BI15" i="1"/>
  <c r="BH15" i="1"/>
  <c r="AZ15" i="1"/>
  <c r="AY15" i="1"/>
  <c r="AX15" i="1"/>
  <c r="AW15" i="1"/>
  <c r="AV15" i="1"/>
  <c r="AU15" i="1"/>
  <c r="AT15" i="1"/>
  <c r="AS15" i="1"/>
  <c r="AQ15" i="1"/>
  <c r="AP15" i="1"/>
  <c r="AO15" i="1"/>
  <c r="BE15" i="1" s="1"/>
  <c r="AN15" i="1"/>
  <c r="BF15" i="1" s="1"/>
  <c r="AM15" i="1"/>
  <c r="BD15" i="1" s="1"/>
  <c r="AL15" i="1"/>
  <c r="BC15" i="1" s="1"/>
  <c r="AB15" i="1"/>
  <c r="AE15" i="1" s="1"/>
  <c r="T15" i="1"/>
  <c r="P15" i="1"/>
  <c r="F15" i="1"/>
  <c r="AK15" i="1" s="1"/>
  <c r="BB15" i="1" s="1"/>
  <c r="E15" i="1"/>
  <c r="CQ14" i="1"/>
  <c r="BS14" i="1"/>
  <c r="BR14" i="1"/>
  <c r="BQ14" i="1"/>
  <c r="BP14" i="1"/>
  <c r="BY14" i="1" s="1"/>
  <c r="CE14" i="1" s="1"/>
  <c r="AZ14" i="1"/>
  <c r="AY14" i="1"/>
  <c r="AV14" i="1"/>
  <c r="AU14" i="1"/>
  <c r="AT14" i="1"/>
  <c r="AS14" i="1"/>
  <c r="AW14" i="1" s="1"/>
  <c r="AQ14" i="1"/>
  <c r="BI14" i="1" s="1"/>
  <c r="AP14" i="1"/>
  <c r="BH14" i="1" s="1"/>
  <c r="AM14" i="1"/>
  <c r="BD14" i="1" s="1"/>
  <c r="AE14" i="1"/>
  <c r="AB14" i="1"/>
  <c r="T14" i="1"/>
  <c r="P14" i="1"/>
  <c r="F14" i="1"/>
  <c r="BW14" i="1" s="1"/>
  <c r="CC14" i="1" s="1"/>
  <c r="CI14" i="1" s="1"/>
  <c r="E14" i="1"/>
  <c r="CQ13" i="1"/>
  <c r="CC13" i="1"/>
  <c r="CI13" i="1" s="1"/>
  <c r="CB13" i="1"/>
  <c r="CH13" i="1" s="1"/>
  <c r="CA13" i="1"/>
  <c r="CG13" i="1" s="1"/>
  <c r="BW13" i="1"/>
  <c r="BV13" i="1"/>
  <c r="BU13" i="1"/>
  <c r="BS13" i="1"/>
  <c r="BR13" i="1"/>
  <c r="BQ13" i="1"/>
  <c r="BI13" i="1"/>
  <c r="BD13" i="1"/>
  <c r="AZ13" i="1"/>
  <c r="AY13" i="1"/>
  <c r="AV13" i="1"/>
  <c r="AU13" i="1"/>
  <c r="AW13" i="1" s="1"/>
  <c r="AT13" i="1"/>
  <c r="AS13" i="1"/>
  <c r="AQ13" i="1"/>
  <c r="AP13" i="1"/>
  <c r="BH13" i="1" s="1"/>
  <c r="AN13" i="1"/>
  <c r="BF13" i="1" s="1"/>
  <c r="AM13" i="1"/>
  <c r="AL13" i="1"/>
  <c r="BC13" i="1" s="1"/>
  <c r="AE13" i="1"/>
  <c r="AB13" i="1"/>
  <c r="T13" i="1"/>
  <c r="U13" i="1" s="1"/>
  <c r="P13" i="1"/>
  <c r="F13" i="1"/>
  <c r="AK13" i="1" s="1"/>
  <c r="BB13" i="1" s="1"/>
  <c r="E13" i="1"/>
  <c r="CQ12" i="1"/>
  <c r="BS12" i="1"/>
  <c r="BR12" i="1"/>
  <c r="BQ12" i="1"/>
  <c r="AZ12" i="1"/>
  <c r="AY12" i="1"/>
  <c r="AV12" i="1"/>
  <c r="AU12" i="1"/>
  <c r="AT12" i="1"/>
  <c r="AS12" i="1"/>
  <c r="AW12" i="1" s="1"/>
  <c r="AE12" i="1"/>
  <c r="AB12" i="1"/>
  <c r="P12" i="1"/>
  <c r="F12" i="1"/>
  <c r="E12" i="1"/>
  <c r="CQ11" i="1"/>
  <c r="BX11" i="1"/>
  <c r="CD11" i="1" s="1"/>
  <c r="CJ11" i="1" s="1"/>
  <c r="BS11" i="1"/>
  <c r="BR11" i="1"/>
  <c r="BQ11" i="1"/>
  <c r="AZ11" i="1"/>
  <c r="AY11" i="1"/>
  <c r="AV11" i="1"/>
  <c r="AU11" i="1"/>
  <c r="AT11" i="1"/>
  <c r="AS11" i="1"/>
  <c r="AW11" i="1" s="1"/>
  <c r="AQ11" i="1"/>
  <c r="BI11" i="1" s="1"/>
  <c r="AP11" i="1"/>
  <c r="BH11" i="1" s="1"/>
  <c r="AB11" i="1"/>
  <c r="AE11" i="1" s="1"/>
  <c r="T11" i="1"/>
  <c r="BP11" i="1" s="1"/>
  <c r="P11" i="1"/>
  <c r="F11" i="1"/>
  <c r="AK11" i="1" s="1"/>
  <c r="BB11" i="1" s="1"/>
  <c r="E11" i="1"/>
  <c r="CQ10" i="1"/>
  <c r="CA10" i="1"/>
  <c r="CG10" i="1" s="1"/>
  <c r="BX10" i="1"/>
  <c r="CD10" i="1" s="1"/>
  <c r="CJ10" i="1" s="1"/>
  <c r="BW10" i="1"/>
  <c r="CC10" i="1" s="1"/>
  <c r="CI10" i="1" s="1"/>
  <c r="BS10" i="1"/>
  <c r="BR10" i="1"/>
  <c r="BQ10" i="1"/>
  <c r="BI10" i="1"/>
  <c r="BH10" i="1"/>
  <c r="BB10" i="1"/>
  <c r="AZ10" i="1"/>
  <c r="AY10" i="1"/>
  <c r="AW10" i="1"/>
  <c r="AV10" i="1"/>
  <c r="AU10" i="1"/>
  <c r="AT10" i="1"/>
  <c r="AS10" i="1"/>
  <c r="AQ10" i="1"/>
  <c r="AP10" i="1"/>
  <c r="AN10" i="1"/>
  <c r="BF10" i="1" s="1"/>
  <c r="AM10" i="1"/>
  <c r="BD10" i="1" s="1"/>
  <c r="AK10" i="1"/>
  <c r="AE10" i="1"/>
  <c r="AB10" i="1"/>
  <c r="U10" i="1"/>
  <c r="T10" i="1"/>
  <c r="P10" i="1"/>
  <c r="F10" i="1"/>
  <c r="BU10" i="1" s="1"/>
  <c r="E10" i="1"/>
  <c r="CQ9" i="1"/>
  <c r="CE9" i="1"/>
  <c r="BW9" i="1"/>
  <c r="CC9" i="1" s="1"/>
  <c r="CI9" i="1" s="1"/>
  <c r="BV9" i="1"/>
  <c r="CB9" i="1" s="1"/>
  <c r="CH9" i="1" s="1"/>
  <c r="BU9" i="1"/>
  <c r="CA9" i="1" s="1"/>
  <c r="CG9" i="1" s="1"/>
  <c r="BS9" i="1"/>
  <c r="BR9" i="1"/>
  <c r="BQ9" i="1"/>
  <c r="BF9" i="1"/>
  <c r="BE9" i="1"/>
  <c r="BB9" i="1"/>
  <c r="AZ9" i="1"/>
  <c r="AY9" i="1"/>
  <c r="AX9" i="1"/>
  <c r="AV9" i="1"/>
  <c r="AU9" i="1"/>
  <c r="AW9" i="1" s="1"/>
  <c r="AT9" i="1"/>
  <c r="AS9" i="1"/>
  <c r="AO9" i="1"/>
  <c r="AN9" i="1"/>
  <c r="AM9" i="1"/>
  <c r="BD9" i="1" s="1"/>
  <c r="AL9" i="1"/>
  <c r="BC9" i="1" s="1"/>
  <c r="AE9" i="1"/>
  <c r="AB9" i="1"/>
  <c r="U9" i="1"/>
  <c r="T9" i="1"/>
  <c r="BP9" i="1" s="1"/>
  <c r="BY9" i="1" s="1"/>
  <c r="P9" i="1"/>
  <c r="F9" i="1"/>
  <c r="AK9" i="1" s="1"/>
  <c r="E9" i="1"/>
  <c r="CQ8" i="1"/>
  <c r="CB8" i="1"/>
  <c r="CH8" i="1" s="1"/>
  <c r="BV8" i="1"/>
  <c r="BS8" i="1"/>
  <c r="BR8" i="1"/>
  <c r="BQ8" i="1"/>
  <c r="AZ8" i="1"/>
  <c r="AY8" i="1"/>
  <c r="AV8" i="1"/>
  <c r="AU8" i="1"/>
  <c r="AW8" i="1" s="1"/>
  <c r="AT8" i="1"/>
  <c r="AS8" i="1"/>
  <c r="AN8" i="1"/>
  <c r="BF8" i="1" s="1"/>
  <c r="AM8" i="1"/>
  <c r="BD8" i="1" s="1"/>
  <c r="AL8" i="1"/>
  <c r="BC8" i="1" s="1"/>
  <c r="AB8" i="1"/>
  <c r="AE8" i="1" s="1"/>
  <c r="T8" i="1"/>
  <c r="P8" i="1"/>
  <c r="F8" i="1"/>
  <c r="BU8" i="1" s="1"/>
  <c r="CA8" i="1" s="1"/>
  <c r="E8" i="1"/>
  <c r="CQ7" i="1"/>
  <c r="BW7" i="1"/>
  <c r="CC7" i="1" s="1"/>
  <c r="BV7" i="1"/>
  <c r="CB7" i="1" s="1"/>
  <c r="BS7" i="1"/>
  <c r="BR7" i="1"/>
  <c r="BQ7" i="1"/>
  <c r="BI7" i="1"/>
  <c r="AZ7" i="1"/>
  <c r="AY7" i="1"/>
  <c r="AV7" i="1"/>
  <c r="AU7" i="1"/>
  <c r="AT7" i="1"/>
  <c r="AS7" i="1"/>
  <c r="AW7" i="1" s="1"/>
  <c r="AQ7" i="1"/>
  <c r="AP7" i="1"/>
  <c r="BH7" i="1" s="1"/>
  <c r="AK7" i="1"/>
  <c r="BB7" i="1" s="1"/>
  <c r="AE7" i="1"/>
  <c r="AB7" i="1"/>
  <c r="P7" i="1"/>
  <c r="F7" i="1"/>
  <c r="BU7" i="1" s="1"/>
  <c r="CA7" i="1" s="1"/>
  <c r="E7" i="1"/>
  <c r="CQ6" i="1"/>
  <c r="CA6" i="1"/>
  <c r="BU6" i="1"/>
  <c r="BS6" i="1"/>
  <c r="BR6" i="1"/>
  <c r="BQ6" i="1"/>
  <c r="AZ6" i="1"/>
  <c r="AY6" i="1"/>
  <c r="AV6" i="1"/>
  <c r="AU6" i="1"/>
  <c r="AW6" i="1" s="1"/>
  <c r="AT6" i="1"/>
  <c r="AS6" i="1"/>
  <c r="AN6" i="1"/>
  <c r="BF6" i="1" s="1"/>
  <c r="AM6" i="1"/>
  <c r="BD6" i="1" s="1"/>
  <c r="AL6" i="1"/>
  <c r="BC6" i="1" s="1"/>
  <c r="AB6" i="1"/>
  <c r="AE6" i="1" s="1"/>
  <c r="T6" i="1"/>
  <c r="P6" i="1"/>
  <c r="F6" i="1"/>
  <c r="AK6" i="1" s="1"/>
  <c r="BB6" i="1" s="1"/>
  <c r="E6" i="1"/>
  <c r="CQ5" i="1"/>
  <c r="BW5" i="1"/>
  <c r="CC5" i="1" s="1"/>
  <c r="BV5" i="1"/>
  <c r="CB5" i="1" s="1"/>
  <c r="BS5" i="1"/>
  <c r="BR5" i="1"/>
  <c r="BQ5" i="1"/>
  <c r="AZ5" i="1"/>
  <c r="AY5" i="1"/>
  <c r="AV5" i="1"/>
  <c r="AU5" i="1"/>
  <c r="AT5" i="1"/>
  <c r="AS5" i="1"/>
  <c r="AW5" i="1" s="1"/>
  <c r="AQ5" i="1"/>
  <c r="BI5" i="1" s="1"/>
  <c r="AP5" i="1"/>
  <c r="BH5" i="1" s="1"/>
  <c r="AE5" i="1"/>
  <c r="AB5" i="1"/>
  <c r="P5" i="1"/>
  <c r="F5" i="1"/>
  <c r="BU5" i="1" s="1"/>
  <c r="CA5" i="1" s="1"/>
  <c r="E5" i="1"/>
  <c r="CQ4" i="1"/>
  <c r="CA4" i="1"/>
  <c r="BU4" i="1"/>
  <c r="BS4" i="1"/>
  <c r="BR4" i="1"/>
  <c r="BQ4" i="1"/>
  <c r="AZ4" i="1"/>
  <c r="AY4" i="1"/>
  <c r="AV4" i="1"/>
  <c r="AU4" i="1"/>
  <c r="AW4" i="1" s="1"/>
  <c r="AT4" i="1"/>
  <c r="AS4" i="1"/>
  <c r="AN4" i="1"/>
  <c r="BF4" i="1" s="1"/>
  <c r="AM4" i="1"/>
  <c r="BD4" i="1" s="1"/>
  <c r="AL4" i="1"/>
  <c r="BC4" i="1" s="1"/>
  <c r="AB4" i="1"/>
  <c r="AE4" i="1" s="1"/>
  <c r="T4" i="1"/>
  <c r="P4" i="1"/>
  <c r="F4" i="1"/>
  <c r="AK4" i="1" s="1"/>
  <c r="BB4" i="1" s="1"/>
  <c r="CQ3" i="1"/>
  <c r="CD3" i="1"/>
  <c r="CJ3" i="1" s="1"/>
  <c r="BX3" i="1"/>
  <c r="BW3" i="1"/>
  <c r="CC3" i="1" s="1"/>
  <c r="CI3" i="1" s="1"/>
  <c r="BV3" i="1"/>
  <c r="CB3" i="1" s="1"/>
  <c r="CH3" i="1" s="1"/>
  <c r="BU3" i="1"/>
  <c r="CA3" i="1" s="1"/>
  <c r="CG3" i="1" s="1"/>
  <c r="CL3" i="1" s="1"/>
  <c r="BS3" i="1"/>
  <c r="BR3" i="1"/>
  <c r="BQ3" i="1"/>
  <c r="BD3" i="1"/>
  <c r="AZ3" i="1"/>
  <c r="AY3" i="1"/>
  <c r="AX3" i="1"/>
  <c r="AW3" i="1"/>
  <c r="AV3" i="1"/>
  <c r="AU3" i="1"/>
  <c r="AT3" i="1"/>
  <c r="AS3" i="1"/>
  <c r="AQ3" i="1"/>
  <c r="BI3" i="1" s="1"/>
  <c r="AP3" i="1"/>
  <c r="BH3" i="1" s="1"/>
  <c r="AO3" i="1"/>
  <c r="BE3" i="1" s="1"/>
  <c r="AN3" i="1"/>
  <c r="BF3" i="1" s="1"/>
  <c r="AM3" i="1"/>
  <c r="AL3" i="1"/>
  <c r="BC3" i="1" s="1"/>
  <c r="AK3" i="1"/>
  <c r="BB3" i="1" s="1"/>
  <c r="AB3" i="1"/>
  <c r="AE3" i="1" s="1"/>
  <c r="AH3" i="1" s="1"/>
  <c r="U3" i="1"/>
  <c r="T3" i="1"/>
  <c r="BP3" i="1" s="1"/>
  <c r="BY3" i="1" s="1"/>
  <c r="CE3" i="1" s="1"/>
  <c r="P3" i="1"/>
  <c r="CQ2" i="1"/>
  <c r="BX2" i="1"/>
  <c r="CD2" i="1" s="1"/>
  <c r="CJ2" i="1" s="1"/>
  <c r="BW2" i="1"/>
  <c r="CC2" i="1" s="1"/>
  <c r="BV2" i="1"/>
  <c r="CB2" i="1" s="1"/>
  <c r="BU2" i="1"/>
  <c r="CA2" i="1" s="1"/>
  <c r="CG2" i="1" s="1"/>
  <c r="BB2" i="1"/>
  <c r="AZ2" i="1"/>
  <c r="AY2" i="1"/>
  <c r="AV2" i="1"/>
  <c r="AU2" i="1"/>
  <c r="AW2" i="1" s="1"/>
  <c r="AT2" i="1"/>
  <c r="AS2" i="1"/>
  <c r="AQ2" i="1"/>
  <c r="BI2" i="1" s="1"/>
  <c r="AP2" i="1"/>
  <c r="BH2" i="1" s="1"/>
  <c r="AN2" i="1"/>
  <c r="BF2" i="1" s="1"/>
  <c r="AM2" i="1"/>
  <c r="BD2" i="1" s="1"/>
  <c r="AL2" i="1"/>
  <c r="BC2" i="1" s="1"/>
  <c r="AK2" i="1"/>
  <c r="AC2" i="1"/>
  <c r="AB2" i="1"/>
  <c r="AE2" i="1" s="1"/>
  <c r="T2" i="1"/>
  <c r="U2" i="1" s="1"/>
  <c r="P2" i="1"/>
  <c r="Q2" i="1" s="1"/>
  <c r="Q3" i="1" s="1"/>
  <c r="Q4" i="1" s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BG3" i="1" l="1"/>
  <c r="CS3" i="1" s="1"/>
  <c r="CK3" i="1"/>
  <c r="CP3" i="1" s="1"/>
  <c r="CO3" i="1"/>
  <c r="AI11" i="1"/>
  <c r="AH11" i="1"/>
  <c r="CO16" i="1"/>
  <c r="CK16" i="1"/>
  <c r="CP16" i="1" s="1"/>
  <c r="CM3" i="1"/>
  <c r="CR3" i="1" s="1"/>
  <c r="CI2" i="1"/>
  <c r="BG4" i="1"/>
  <c r="CS4" i="1" s="1"/>
  <c r="BP6" i="1"/>
  <c r="BY6" i="1" s="1"/>
  <c r="CE6" i="1" s="1"/>
  <c r="AI6" i="1"/>
  <c r="AH6" i="1"/>
  <c r="AX6" i="1"/>
  <c r="AO6" i="1"/>
  <c r="BE6" i="1" s="1"/>
  <c r="U6" i="1"/>
  <c r="AX10" i="1"/>
  <c r="AO10" i="1"/>
  <c r="BE10" i="1" s="1"/>
  <c r="AI10" i="1"/>
  <c r="BP10" i="1"/>
  <c r="BY10" i="1" s="1"/>
  <c r="CE10" i="1" s="1"/>
  <c r="AH10" i="1"/>
  <c r="BG13" i="1"/>
  <c r="CS13" i="1" s="1"/>
  <c r="CL13" i="1"/>
  <c r="T18" i="1"/>
  <c r="AK27" i="1"/>
  <c r="BB27" i="1" s="1"/>
  <c r="BG27" i="1" s="1"/>
  <c r="CS27" i="1" s="1"/>
  <c r="AP27" i="1"/>
  <c r="BH27" i="1" s="1"/>
  <c r="BX27" i="1"/>
  <c r="CD27" i="1" s="1"/>
  <c r="CJ27" i="1" s="1"/>
  <c r="AO27" i="1"/>
  <c r="BE27" i="1" s="1"/>
  <c r="BW27" i="1"/>
  <c r="CC27" i="1" s="1"/>
  <c r="AN27" i="1"/>
  <c r="BF27" i="1" s="1"/>
  <c r="BV27" i="1"/>
  <c r="CB27" i="1" s="1"/>
  <c r="AM27" i="1"/>
  <c r="BD27" i="1" s="1"/>
  <c r="BU27" i="1"/>
  <c r="CA27" i="1" s="1"/>
  <c r="CG27" i="1" s="1"/>
  <c r="AL27" i="1"/>
  <c r="BC27" i="1" s="1"/>
  <c r="AQ27" i="1"/>
  <c r="BI27" i="1" s="1"/>
  <c r="CG6" i="1"/>
  <c r="BG15" i="1"/>
  <c r="CS15" i="1" s="1"/>
  <c r="BJ19" i="1"/>
  <c r="AW20" i="1"/>
  <c r="CI30" i="1"/>
  <c r="BP13" i="1"/>
  <c r="BY13" i="1" s="1"/>
  <c r="CE13" i="1" s="1"/>
  <c r="AI13" i="1"/>
  <c r="AH13" i="1"/>
  <c r="AX14" i="1"/>
  <c r="AO14" i="1"/>
  <c r="BE14" i="1" s="1"/>
  <c r="AI14" i="1"/>
  <c r="AH14" i="1"/>
  <c r="BG22" i="1"/>
  <c r="CS22" i="1" s="1"/>
  <c r="BG24" i="1"/>
  <c r="CS24" i="1" s="1"/>
  <c r="BU12" i="1"/>
  <c r="CA12" i="1" s="1"/>
  <c r="CG12" i="1" s="1"/>
  <c r="AQ12" i="1"/>
  <c r="BI12" i="1" s="1"/>
  <c r="AP12" i="1"/>
  <c r="BH12" i="1" s="1"/>
  <c r="BX12" i="1"/>
  <c r="CD12" i="1" s="1"/>
  <c r="CJ12" i="1" s="1"/>
  <c r="AN12" i="1"/>
  <c r="BF12" i="1" s="1"/>
  <c r="BW12" i="1"/>
  <c r="CC12" i="1" s="1"/>
  <c r="AM12" i="1"/>
  <c r="BD12" i="1" s="1"/>
  <c r="AL12" i="1"/>
  <c r="BC12" i="1" s="1"/>
  <c r="BV12" i="1"/>
  <c r="CB12" i="1" s="1"/>
  <c r="AK12" i="1"/>
  <c r="BB12" i="1" s="1"/>
  <c r="BP4" i="1"/>
  <c r="BY4" i="1" s="1"/>
  <c r="CE4" i="1" s="1"/>
  <c r="AI4" i="1"/>
  <c r="AO4" i="1"/>
  <c r="BE4" i="1" s="1"/>
  <c r="U4" i="1"/>
  <c r="AH4" i="1"/>
  <c r="AX4" i="1"/>
  <c r="BP2" i="1"/>
  <c r="BY2" i="1" s="1"/>
  <c r="CE2" i="1" s="1"/>
  <c r="AX2" i="1"/>
  <c r="AI2" i="1"/>
  <c r="AH2" i="1"/>
  <c r="AO2" i="1"/>
  <c r="BE2" i="1" s="1"/>
  <c r="CO9" i="1"/>
  <c r="CG4" i="1"/>
  <c r="CL4" i="1" s="1"/>
  <c r="CM4" i="1" s="1"/>
  <c r="CR4" i="1" s="1"/>
  <c r="U5" i="1"/>
  <c r="CI7" i="1"/>
  <c r="BG9" i="1"/>
  <c r="CS9" i="1" s="1"/>
  <c r="BP15" i="1"/>
  <c r="BY15" i="1" s="1"/>
  <c r="CE15" i="1" s="1"/>
  <c r="AI15" i="1"/>
  <c r="AH15" i="1"/>
  <c r="U15" i="1"/>
  <c r="U16" i="1"/>
  <c r="CO17" i="1"/>
  <c r="CO23" i="1"/>
  <c r="BG6" i="1"/>
  <c r="CS6" i="1" s="1"/>
  <c r="CL9" i="1"/>
  <c r="CM9" i="1" s="1"/>
  <c r="CR9" i="1" s="1"/>
  <c r="AX13" i="1"/>
  <c r="CO14" i="1"/>
  <c r="AH16" i="1"/>
  <c r="AX16" i="1"/>
  <c r="AO16" i="1"/>
  <c r="BE16" i="1" s="1"/>
  <c r="AI16" i="1"/>
  <c r="CK25" i="1"/>
  <c r="CP25" i="1" s="1"/>
  <c r="CO25" i="1"/>
  <c r="CM29" i="1"/>
  <c r="CR29" i="1" s="1"/>
  <c r="BG2" i="1"/>
  <c r="CS2" i="1" s="1"/>
  <c r="CH2" i="1"/>
  <c r="CL2" i="1" s="1"/>
  <c r="CM2" i="1" s="1"/>
  <c r="CR2" i="1" s="1"/>
  <c r="CG7" i="1"/>
  <c r="BP8" i="1"/>
  <c r="BY8" i="1" s="1"/>
  <c r="CE8" i="1" s="1"/>
  <c r="AI8" i="1"/>
  <c r="AH8" i="1"/>
  <c r="AX8" i="1"/>
  <c r="AO8" i="1"/>
  <c r="BE8" i="1" s="1"/>
  <c r="U8" i="1"/>
  <c r="AO13" i="1"/>
  <c r="BE13" i="1" s="1"/>
  <c r="CH40" i="1"/>
  <c r="BX5" i="1"/>
  <c r="CD5" i="1" s="1"/>
  <c r="CJ5" i="1" s="1"/>
  <c r="BX7" i="1"/>
  <c r="CD7" i="1" s="1"/>
  <c r="CJ7" i="1" s="1"/>
  <c r="CI15" i="1"/>
  <c r="CL15" i="1" s="1"/>
  <c r="CM15" i="1" s="1"/>
  <c r="CR15" i="1" s="1"/>
  <c r="BW20" i="1"/>
  <c r="CC20" i="1" s="1"/>
  <c r="AQ20" i="1"/>
  <c r="BI20" i="1" s="1"/>
  <c r="BV20" i="1"/>
  <c r="CB20" i="1" s="1"/>
  <c r="CH20" i="1" s="1"/>
  <c r="AP20" i="1"/>
  <c r="BH20" i="1" s="1"/>
  <c r="BU20" i="1"/>
  <c r="CA20" i="1" s="1"/>
  <c r="CG20" i="1" s="1"/>
  <c r="AN20" i="1"/>
  <c r="BF20" i="1" s="1"/>
  <c r="AM20" i="1"/>
  <c r="BD20" i="1" s="1"/>
  <c r="AL20" i="1"/>
  <c r="BC20" i="1" s="1"/>
  <c r="CK19" i="1"/>
  <c r="CP19" i="1" s="1"/>
  <c r="CO19" i="1"/>
  <c r="U20" i="1"/>
  <c r="T20" i="1"/>
  <c r="BP31" i="1"/>
  <c r="BY31" i="1" s="1"/>
  <c r="CE31" i="1" s="1"/>
  <c r="AI31" i="1"/>
  <c r="AH31" i="1"/>
  <c r="AX31" i="1"/>
  <c r="BP39" i="1"/>
  <c r="BY39" i="1" s="1"/>
  <c r="CE39" i="1" s="1"/>
  <c r="AI39" i="1"/>
  <c r="AH39" i="1"/>
  <c r="AX39" i="1"/>
  <c r="AO39" i="1"/>
  <c r="BE39" i="1" s="1"/>
  <c r="U39" i="1"/>
  <c r="AI3" i="1"/>
  <c r="AP4" i="1"/>
  <c r="BH4" i="1" s="1"/>
  <c r="BV4" i="1"/>
  <c r="CB4" i="1" s="1"/>
  <c r="CH4" i="1" s="1"/>
  <c r="AL5" i="1"/>
  <c r="BC5" i="1" s="1"/>
  <c r="CH5" i="1" s="1"/>
  <c r="AP6" i="1"/>
  <c r="BH6" i="1" s="1"/>
  <c r="BV6" i="1"/>
  <c r="CB6" i="1" s="1"/>
  <c r="CH6" i="1" s="1"/>
  <c r="AL7" i="1"/>
  <c r="BC7" i="1" s="1"/>
  <c r="CH7" i="1" s="1"/>
  <c r="AP8" i="1"/>
  <c r="BH8" i="1" s="1"/>
  <c r="BW8" i="1"/>
  <c r="CC8" i="1" s="1"/>
  <c r="CI8" i="1" s="1"/>
  <c r="AP9" i="1"/>
  <c r="BH9" i="1" s="1"/>
  <c r="BX9" i="1"/>
  <c r="CD9" i="1" s="1"/>
  <c r="CJ9" i="1" s="1"/>
  <c r="CK9" i="1" s="1"/>
  <c r="CP9" i="1" s="1"/>
  <c r="AL11" i="1"/>
  <c r="BC11" i="1" s="1"/>
  <c r="T12" i="1"/>
  <c r="BV14" i="1"/>
  <c r="CB14" i="1" s="1"/>
  <c r="BJ21" i="1"/>
  <c r="CG21" i="1"/>
  <c r="AW24" i="1"/>
  <c r="AK5" i="1"/>
  <c r="BB5" i="1" s="1"/>
  <c r="AQ4" i="1"/>
  <c r="BI4" i="1" s="1"/>
  <c r="BW4" i="1"/>
  <c r="CC4" i="1" s="1"/>
  <c r="CI4" i="1" s="1"/>
  <c r="T5" i="1"/>
  <c r="AM5" i="1"/>
  <c r="BD5" i="1" s="1"/>
  <c r="CI5" i="1" s="1"/>
  <c r="AQ6" i="1"/>
  <c r="BI6" i="1" s="1"/>
  <c r="BW6" i="1"/>
  <c r="CC6" i="1" s="1"/>
  <c r="CI6" i="1" s="1"/>
  <c r="T7" i="1"/>
  <c r="U7" i="1" s="1"/>
  <c r="AM7" i="1"/>
  <c r="BD7" i="1" s="1"/>
  <c r="BG7" i="1" s="1"/>
  <c r="CS7" i="1" s="1"/>
  <c r="AQ8" i="1"/>
  <c r="BI8" i="1" s="1"/>
  <c r="BX8" i="1"/>
  <c r="CD8" i="1" s="1"/>
  <c r="CJ8" i="1" s="1"/>
  <c r="AQ9" i="1"/>
  <c r="BI9" i="1" s="1"/>
  <c r="AM11" i="1"/>
  <c r="BD11" i="1" s="1"/>
  <c r="BG11" i="1" s="1"/>
  <c r="CS11" i="1" s="1"/>
  <c r="BU11" i="1"/>
  <c r="CA11" i="1" s="1"/>
  <c r="CG11" i="1" s="1"/>
  <c r="BX20" i="1"/>
  <c r="CD20" i="1" s="1"/>
  <c r="CJ20" i="1" s="1"/>
  <c r="CH21" i="1"/>
  <c r="BW22" i="1"/>
  <c r="CC22" i="1" s="1"/>
  <c r="AQ22" i="1"/>
  <c r="BI22" i="1" s="1"/>
  <c r="BV22" i="1"/>
  <c r="CB22" i="1" s="1"/>
  <c r="AP22" i="1"/>
  <c r="BH22" i="1" s="1"/>
  <c r="BU22" i="1"/>
  <c r="CA22" i="1" s="1"/>
  <c r="CG22" i="1" s="1"/>
  <c r="AN22" i="1"/>
  <c r="BF22" i="1" s="1"/>
  <c r="AM22" i="1"/>
  <c r="BD22" i="1" s="1"/>
  <c r="AL22" i="1"/>
  <c r="BC22" i="1" s="1"/>
  <c r="AX28" i="1"/>
  <c r="AO28" i="1"/>
  <c r="BE28" i="1" s="1"/>
  <c r="BP28" i="1"/>
  <c r="BY28" i="1" s="1"/>
  <c r="CE28" i="1" s="1"/>
  <c r="AI28" i="1"/>
  <c r="AH28" i="1"/>
  <c r="BX4" i="1"/>
  <c r="CD4" i="1" s="1"/>
  <c r="CJ4" i="1" s="1"/>
  <c r="AN5" i="1"/>
  <c r="BF5" i="1" s="1"/>
  <c r="BX6" i="1"/>
  <c r="CD6" i="1" s="1"/>
  <c r="CJ6" i="1" s="1"/>
  <c r="AN7" i="1"/>
  <c r="BF7" i="1" s="1"/>
  <c r="AH9" i="1"/>
  <c r="BY11" i="1"/>
  <c r="CE11" i="1" s="1"/>
  <c r="AN11" i="1"/>
  <c r="BF11" i="1" s="1"/>
  <c r="BV11" i="1"/>
  <c r="CB11" i="1" s="1"/>
  <c r="CH11" i="1" s="1"/>
  <c r="BU14" i="1"/>
  <c r="CA14" i="1" s="1"/>
  <c r="CG14" i="1" s="1"/>
  <c r="AN14" i="1"/>
  <c r="BF14" i="1" s="1"/>
  <c r="AK14" i="1"/>
  <c r="BB14" i="1" s="1"/>
  <c r="BX14" i="1"/>
  <c r="CD14" i="1" s="1"/>
  <c r="CJ14" i="1" s="1"/>
  <c r="CK14" i="1" s="1"/>
  <c r="CP14" i="1" s="1"/>
  <c r="BJ17" i="1"/>
  <c r="CG17" i="1"/>
  <c r="CL17" i="1" s="1"/>
  <c r="CM17" i="1" s="1"/>
  <c r="CR17" i="1" s="1"/>
  <c r="CK21" i="1"/>
  <c r="CP21" i="1" s="1"/>
  <c r="CO21" i="1"/>
  <c r="U22" i="1"/>
  <c r="T22" i="1"/>
  <c r="BX24" i="1"/>
  <c r="CD24" i="1" s="1"/>
  <c r="CJ24" i="1" s="1"/>
  <c r="BW24" i="1"/>
  <c r="CC24" i="1" s="1"/>
  <c r="CI24" i="1" s="1"/>
  <c r="AQ24" i="1"/>
  <c r="BI24" i="1" s="1"/>
  <c r="BV24" i="1"/>
  <c r="CB24" i="1" s="1"/>
  <c r="CH24" i="1" s="1"/>
  <c r="AP24" i="1"/>
  <c r="BH24" i="1" s="1"/>
  <c r="BU24" i="1"/>
  <c r="CA24" i="1" s="1"/>
  <c r="CG24" i="1" s="1"/>
  <c r="AN24" i="1"/>
  <c r="BF24" i="1" s="1"/>
  <c r="AM24" i="1"/>
  <c r="BD24" i="1" s="1"/>
  <c r="AL24" i="1"/>
  <c r="BC24" i="1" s="1"/>
  <c r="AH25" i="1"/>
  <c r="CL31" i="1"/>
  <c r="CM31" i="1" s="1"/>
  <c r="CR31" i="1" s="1"/>
  <c r="AK8" i="1"/>
  <c r="BB8" i="1" s="1"/>
  <c r="BG8" i="1" s="1"/>
  <c r="CS8" i="1" s="1"/>
  <c r="AI9" i="1"/>
  <c r="AL10" i="1"/>
  <c r="BC10" i="1" s="1"/>
  <c r="BG10" i="1" s="1"/>
  <c r="CS10" i="1" s="1"/>
  <c r="BV10" i="1"/>
  <c r="CB10" i="1" s="1"/>
  <c r="CH10" i="1" s="1"/>
  <c r="CL10" i="1" s="1"/>
  <c r="CM10" i="1" s="1"/>
  <c r="CR10" i="1" s="1"/>
  <c r="U11" i="1"/>
  <c r="AO11" i="1"/>
  <c r="BE11" i="1" s="1"/>
  <c r="AX11" i="1"/>
  <c r="BW11" i="1"/>
  <c r="CC11" i="1" s="1"/>
  <c r="U14" i="1"/>
  <c r="AL14" i="1"/>
  <c r="BC14" i="1" s="1"/>
  <c r="BW16" i="1"/>
  <c r="CC16" i="1" s="1"/>
  <c r="CI16" i="1" s="1"/>
  <c r="AQ16" i="1"/>
  <c r="BI16" i="1" s="1"/>
  <c r="BV16" i="1"/>
  <c r="CB16" i="1" s="1"/>
  <c r="AP16" i="1"/>
  <c r="BH16" i="1" s="1"/>
  <c r="BU16" i="1"/>
  <c r="CA16" i="1" s="1"/>
  <c r="CG16" i="1" s="1"/>
  <c r="AN16" i="1"/>
  <c r="BF16" i="1" s="1"/>
  <c r="AL16" i="1"/>
  <c r="BC16" i="1" s="1"/>
  <c r="BG16" i="1" s="1"/>
  <c r="CS16" i="1" s="1"/>
  <c r="AW16" i="1"/>
  <c r="CH17" i="1"/>
  <c r="BW18" i="1"/>
  <c r="CC18" i="1" s="1"/>
  <c r="CI18" i="1" s="1"/>
  <c r="AQ18" i="1"/>
  <c r="BI18" i="1" s="1"/>
  <c r="BV18" i="1"/>
  <c r="CB18" i="1" s="1"/>
  <c r="CH18" i="1" s="1"/>
  <c r="AP18" i="1"/>
  <c r="BH18" i="1" s="1"/>
  <c r="BU18" i="1"/>
  <c r="CA18" i="1" s="1"/>
  <c r="CG18" i="1" s="1"/>
  <c r="AN18" i="1"/>
  <c r="BF18" i="1" s="1"/>
  <c r="AM18" i="1"/>
  <c r="BD18" i="1" s="1"/>
  <c r="AL18" i="1"/>
  <c r="BC18" i="1" s="1"/>
  <c r="BG18" i="1" s="1"/>
  <c r="CS18" i="1" s="1"/>
  <c r="AK20" i="1"/>
  <c r="BB20" i="1" s="1"/>
  <c r="CI21" i="1"/>
  <c r="U24" i="1"/>
  <c r="T24" i="1"/>
  <c r="CH28" i="1"/>
  <c r="AI29" i="1"/>
  <c r="AH29" i="1"/>
  <c r="AO29" i="1"/>
  <c r="BE29" i="1" s="1"/>
  <c r="BP29" i="1"/>
  <c r="BY29" i="1" s="1"/>
  <c r="CE29" i="1" s="1"/>
  <c r="AX29" i="1"/>
  <c r="BG30" i="1"/>
  <c r="CS30" i="1" s="1"/>
  <c r="BV23" i="1"/>
  <c r="CB23" i="1" s="1"/>
  <c r="CH23" i="1" s="1"/>
  <c r="BV26" i="1"/>
  <c r="CB26" i="1" s="1"/>
  <c r="AP26" i="1"/>
  <c r="BH26" i="1" s="1"/>
  <c r="AI26" i="1"/>
  <c r="AW28" i="1"/>
  <c r="AW29" i="1"/>
  <c r="BG32" i="1"/>
  <c r="CS32" i="1" s="1"/>
  <c r="CH37" i="1"/>
  <c r="CL37" i="1" s="1"/>
  <c r="CM37" i="1" s="1"/>
  <c r="CR37" i="1" s="1"/>
  <c r="BG39" i="1"/>
  <c r="CS39" i="1" s="1"/>
  <c r="CG39" i="1"/>
  <c r="T30" i="1"/>
  <c r="U30" i="1" s="1"/>
  <c r="CG33" i="1"/>
  <c r="AK43" i="1"/>
  <c r="BB43" i="1" s="1"/>
  <c r="AQ43" i="1"/>
  <c r="BI43" i="1" s="1"/>
  <c r="BX43" i="1"/>
  <c r="CD43" i="1" s="1"/>
  <c r="CJ43" i="1" s="1"/>
  <c r="AP43" i="1"/>
  <c r="BH43" i="1" s="1"/>
  <c r="BW43" i="1"/>
  <c r="CC43" i="1" s="1"/>
  <c r="BV43" i="1"/>
  <c r="CB43" i="1" s="1"/>
  <c r="CH43" i="1" s="1"/>
  <c r="AN43" i="1"/>
  <c r="BF43" i="1" s="1"/>
  <c r="BU43" i="1"/>
  <c r="CA43" i="1" s="1"/>
  <c r="CG43" i="1" s="1"/>
  <c r="AM43" i="1"/>
  <c r="BD43" i="1" s="1"/>
  <c r="AL43" i="1"/>
  <c r="BC43" i="1" s="1"/>
  <c r="BX13" i="1"/>
  <c r="CD13" i="1" s="1"/>
  <c r="CJ13" i="1" s="1"/>
  <c r="BX15" i="1"/>
  <c r="CD15" i="1" s="1"/>
  <c r="CJ15" i="1" s="1"/>
  <c r="AI17" i="1"/>
  <c r="BX17" i="1"/>
  <c r="CD17" i="1" s="1"/>
  <c r="CJ17" i="1" s="1"/>
  <c r="CK17" i="1" s="1"/>
  <c r="CP17" i="1" s="1"/>
  <c r="AI19" i="1"/>
  <c r="BX19" i="1"/>
  <c r="CD19" i="1" s="1"/>
  <c r="CJ19" i="1" s="1"/>
  <c r="AI21" i="1"/>
  <c r="BX21" i="1"/>
  <c r="CD21" i="1" s="1"/>
  <c r="CJ21" i="1" s="1"/>
  <c r="AI23" i="1"/>
  <c r="BX23" i="1"/>
  <c r="CD23" i="1" s="1"/>
  <c r="CJ23" i="1" s="1"/>
  <c r="CK23" i="1" s="1"/>
  <c r="CP23" i="1" s="1"/>
  <c r="AL25" i="1"/>
  <c r="BC25" i="1" s="1"/>
  <c r="BG25" i="1" s="1"/>
  <c r="CS25" i="1" s="1"/>
  <c r="AL26" i="1"/>
  <c r="BC26" i="1" s="1"/>
  <c r="BG26" i="1" s="1"/>
  <c r="BU28" i="1"/>
  <c r="CA28" i="1" s="1"/>
  <c r="CG28" i="1" s="1"/>
  <c r="AN28" i="1"/>
  <c r="BF28" i="1" s="1"/>
  <c r="BW28" i="1"/>
  <c r="CC28" i="1" s="1"/>
  <c r="AK23" i="1"/>
  <c r="BB23" i="1" s="1"/>
  <c r="BG23" i="1" s="1"/>
  <c r="CS23" i="1" s="1"/>
  <c r="AN25" i="1"/>
  <c r="BF25" i="1" s="1"/>
  <c r="BU25" i="1"/>
  <c r="CA25" i="1" s="1"/>
  <c r="CG25" i="1" s="1"/>
  <c r="AM26" i="1"/>
  <c r="BD26" i="1" s="1"/>
  <c r="BU26" i="1"/>
  <c r="CA26" i="1" s="1"/>
  <c r="CG26" i="1" s="1"/>
  <c r="BY27" i="1"/>
  <c r="CE27" i="1" s="1"/>
  <c r="AK28" i="1"/>
  <c r="BB28" i="1" s="1"/>
  <c r="BX28" i="1"/>
  <c r="CD28" i="1" s="1"/>
  <c r="CJ28" i="1" s="1"/>
  <c r="AW30" i="1"/>
  <c r="T32" i="1"/>
  <c r="CH33" i="1"/>
  <c r="BP35" i="1"/>
  <c r="BY35" i="1" s="1"/>
  <c r="CE35" i="1" s="1"/>
  <c r="AI35" i="1"/>
  <c r="AH35" i="1"/>
  <c r="AX35" i="1"/>
  <c r="AO35" i="1"/>
  <c r="BE35" i="1" s="1"/>
  <c r="CI44" i="1"/>
  <c r="AO25" i="1"/>
  <c r="BE25" i="1" s="1"/>
  <c r="BV25" i="1"/>
  <c r="CB25" i="1" s="1"/>
  <c r="CH25" i="1" s="1"/>
  <c r="AN26" i="1"/>
  <c r="BF26" i="1" s="1"/>
  <c r="AX26" i="1"/>
  <c r="BW26" i="1"/>
  <c r="CC26" i="1" s="1"/>
  <c r="U28" i="1"/>
  <c r="U29" i="1"/>
  <c r="CH30" i="1"/>
  <c r="CL30" i="1" s="1"/>
  <c r="CM30" i="1" s="1"/>
  <c r="CR30" i="1" s="1"/>
  <c r="CI34" i="1"/>
  <c r="CL34" i="1" s="1"/>
  <c r="CG35" i="1"/>
  <c r="CL35" i="1" s="1"/>
  <c r="CM35" i="1" s="1"/>
  <c r="CR35" i="1" s="1"/>
  <c r="AP25" i="1"/>
  <c r="BH25" i="1" s="1"/>
  <c r="BW25" i="1"/>
  <c r="CC25" i="1" s="1"/>
  <c r="CI25" i="1" s="1"/>
  <c r="BX26" i="1"/>
  <c r="CD26" i="1" s="1"/>
  <c r="CJ26" i="1" s="1"/>
  <c r="CK26" i="1" s="1"/>
  <c r="CP26" i="1" s="1"/>
  <c r="AM28" i="1"/>
  <c r="BD28" i="1" s="1"/>
  <c r="U31" i="1"/>
  <c r="CG32" i="1"/>
  <c r="CL32" i="1" s="1"/>
  <c r="CM32" i="1" s="1"/>
  <c r="CR32" i="1" s="1"/>
  <c r="BP33" i="1"/>
  <c r="BY33" i="1" s="1"/>
  <c r="CE33" i="1" s="1"/>
  <c r="AI33" i="1"/>
  <c r="AH33" i="1"/>
  <c r="BG35" i="1"/>
  <c r="CS35" i="1" s="1"/>
  <c r="BP37" i="1"/>
  <c r="BY37" i="1" s="1"/>
  <c r="CE37" i="1" s="1"/>
  <c r="AI37" i="1"/>
  <c r="AH37" i="1"/>
  <c r="AX37" i="1"/>
  <c r="AO37" i="1"/>
  <c r="BE37" i="1" s="1"/>
  <c r="U37" i="1"/>
  <c r="CO41" i="1"/>
  <c r="CK41" i="1"/>
  <c r="CP41" i="1" s="1"/>
  <c r="BG41" i="1"/>
  <c r="CS41" i="1" s="1"/>
  <c r="CI41" i="1"/>
  <c r="CL41" i="1" s="1"/>
  <c r="CM41" i="1" s="1"/>
  <c r="CR41" i="1" s="1"/>
  <c r="CG42" i="1"/>
  <c r="AX51" i="1"/>
  <c r="AO51" i="1"/>
  <c r="BE51" i="1" s="1"/>
  <c r="AI51" i="1"/>
  <c r="AH51" i="1"/>
  <c r="BP51" i="1"/>
  <c r="BY51" i="1" s="1"/>
  <c r="CE51" i="1" s="1"/>
  <c r="U51" i="1"/>
  <c r="BX30" i="1"/>
  <c r="CD30" i="1" s="1"/>
  <c r="CJ30" i="1" s="1"/>
  <c r="BX32" i="1"/>
  <c r="CD32" i="1" s="1"/>
  <c r="CJ32" i="1" s="1"/>
  <c r="BX34" i="1"/>
  <c r="CD34" i="1" s="1"/>
  <c r="CJ34" i="1" s="1"/>
  <c r="BX36" i="1"/>
  <c r="CD36" i="1" s="1"/>
  <c r="CJ36" i="1" s="1"/>
  <c r="BX38" i="1"/>
  <c r="CD38" i="1" s="1"/>
  <c r="CJ38" i="1" s="1"/>
  <c r="BX40" i="1"/>
  <c r="CD40" i="1" s="1"/>
  <c r="CJ40" i="1" s="1"/>
  <c r="AX44" i="1"/>
  <c r="AO44" i="1"/>
  <c r="BE44" i="1" s="1"/>
  <c r="CO58" i="1"/>
  <c r="AK45" i="1"/>
  <c r="BB45" i="1" s="1"/>
  <c r="BV45" i="1"/>
  <c r="CB45" i="1" s="1"/>
  <c r="CH45" i="1" s="1"/>
  <c r="AP45" i="1"/>
  <c r="BH45" i="1" s="1"/>
  <c r="AL45" i="1"/>
  <c r="BC45" i="1" s="1"/>
  <c r="BW45" i="1"/>
  <c r="CC45" i="1" s="1"/>
  <c r="CI45" i="1" s="1"/>
  <c r="BV46" i="1"/>
  <c r="CB46" i="1" s="1"/>
  <c r="BU46" i="1"/>
  <c r="CA46" i="1" s="1"/>
  <c r="CG46" i="1" s="1"/>
  <c r="AN46" i="1"/>
  <c r="BF46" i="1" s="1"/>
  <c r="AL46" i="1"/>
  <c r="BC46" i="1" s="1"/>
  <c r="BG46" i="1" s="1"/>
  <c r="CS46" i="1" s="1"/>
  <c r="AM46" i="1"/>
  <c r="BD46" i="1" s="1"/>
  <c r="BP47" i="1"/>
  <c r="BY47" i="1" s="1"/>
  <c r="CE47" i="1" s="1"/>
  <c r="AI47" i="1"/>
  <c r="AH47" i="1"/>
  <c r="AX47" i="1"/>
  <c r="AO47" i="1"/>
  <c r="BE47" i="1" s="1"/>
  <c r="CH50" i="1"/>
  <c r="CI54" i="1"/>
  <c r="AL40" i="1"/>
  <c r="BC40" i="1" s="1"/>
  <c r="BG40" i="1" s="1"/>
  <c r="CS40" i="1" s="1"/>
  <c r="AK42" i="1"/>
  <c r="BB42" i="1" s="1"/>
  <c r="BY43" i="1"/>
  <c r="CE43" i="1" s="1"/>
  <c r="AP44" i="1"/>
  <c r="BH44" i="1" s="1"/>
  <c r="AM45" i="1"/>
  <c r="BD45" i="1" s="1"/>
  <c r="BX45" i="1"/>
  <c r="CD45" i="1" s="1"/>
  <c r="CJ45" i="1" s="1"/>
  <c r="U46" i="1"/>
  <c r="AP46" i="1"/>
  <c r="BH46" i="1" s="1"/>
  <c r="AQ29" i="1"/>
  <c r="BI29" i="1" s="1"/>
  <c r="AM30" i="1"/>
  <c r="BD30" i="1" s="1"/>
  <c r="AQ31" i="1"/>
  <c r="BI31" i="1" s="1"/>
  <c r="BJ31" i="1" s="1"/>
  <c r="BW31" i="1"/>
  <c r="CC31" i="1" s="1"/>
  <c r="CI31" i="1" s="1"/>
  <c r="AM32" i="1"/>
  <c r="BD32" i="1" s="1"/>
  <c r="CI32" i="1" s="1"/>
  <c r="AQ33" i="1"/>
  <c r="BI33" i="1" s="1"/>
  <c r="BJ33" i="1" s="1"/>
  <c r="BW33" i="1"/>
  <c r="CC33" i="1" s="1"/>
  <c r="CI33" i="1" s="1"/>
  <c r="T34" i="1"/>
  <c r="AM34" i="1"/>
  <c r="BD34" i="1" s="1"/>
  <c r="AQ35" i="1"/>
  <c r="BI35" i="1" s="1"/>
  <c r="BW35" i="1"/>
  <c r="CC35" i="1" s="1"/>
  <c r="CI35" i="1" s="1"/>
  <c r="T36" i="1"/>
  <c r="AM36" i="1"/>
  <c r="BD36" i="1" s="1"/>
  <c r="BG36" i="1" s="1"/>
  <c r="CS36" i="1" s="1"/>
  <c r="AQ37" i="1"/>
  <c r="BI37" i="1" s="1"/>
  <c r="BW37" i="1"/>
  <c r="CC37" i="1" s="1"/>
  <c r="CI37" i="1" s="1"/>
  <c r="T38" i="1"/>
  <c r="U38" i="1" s="1"/>
  <c r="AM38" i="1"/>
  <c r="BD38" i="1" s="1"/>
  <c r="CI38" i="1" s="1"/>
  <c r="AQ39" i="1"/>
  <c r="BI39" i="1" s="1"/>
  <c r="BW39" i="1"/>
  <c r="CC39" i="1" s="1"/>
  <c r="CI39" i="1" s="1"/>
  <c r="T40" i="1"/>
  <c r="AM40" i="1"/>
  <c r="BD40" i="1" s="1"/>
  <c r="CI40" i="1" s="1"/>
  <c r="AI41" i="1"/>
  <c r="AL42" i="1"/>
  <c r="BC42" i="1" s="1"/>
  <c r="BV42" i="1"/>
  <c r="CB42" i="1" s="1"/>
  <c r="U43" i="1"/>
  <c r="AO43" i="1"/>
  <c r="BE43" i="1" s="1"/>
  <c r="AX43" i="1"/>
  <c r="AQ44" i="1"/>
  <c r="BI44" i="1" s="1"/>
  <c r="BP44" i="1"/>
  <c r="BY44" i="1" s="1"/>
  <c r="CE44" i="1" s="1"/>
  <c r="AN45" i="1"/>
  <c r="BF45" i="1" s="1"/>
  <c r="T46" i="1"/>
  <c r="AQ46" i="1"/>
  <c r="BI46" i="1" s="1"/>
  <c r="U47" i="1"/>
  <c r="BG51" i="1"/>
  <c r="CS51" i="1" s="1"/>
  <c r="CG51" i="1"/>
  <c r="CL51" i="1" s="1"/>
  <c r="CM51" i="1" s="1"/>
  <c r="CR51" i="1" s="1"/>
  <c r="AN34" i="1"/>
  <c r="BF34" i="1" s="1"/>
  <c r="BG34" i="1" s="1"/>
  <c r="CS34" i="1" s="1"/>
  <c r="AN36" i="1"/>
  <c r="BF36" i="1" s="1"/>
  <c r="AN38" i="1"/>
  <c r="BF38" i="1" s="1"/>
  <c r="AN40" i="1"/>
  <c r="BF40" i="1" s="1"/>
  <c r="AL41" i="1"/>
  <c r="BC41" i="1" s="1"/>
  <c r="CH41" i="1" s="1"/>
  <c r="T42" i="1"/>
  <c r="AM42" i="1"/>
  <c r="BD42" i="1" s="1"/>
  <c r="BW42" i="1"/>
  <c r="CC42" i="1" s="1"/>
  <c r="CI42" i="1" s="1"/>
  <c r="AH44" i="1"/>
  <c r="BY45" i="1"/>
  <c r="CE45" i="1" s="1"/>
  <c r="AO45" i="1"/>
  <c r="BE45" i="1" s="1"/>
  <c r="AW46" i="1"/>
  <c r="BW46" i="1"/>
  <c r="CC46" i="1" s="1"/>
  <c r="BU36" i="1"/>
  <c r="CA36" i="1" s="1"/>
  <c r="CG36" i="1" s="1"/>
  <c r="BU38" i="1"/>
  <c r="CA38" i="1" s="1"/>
  <c r="CG38" i="1" s="1"/>
  <c r="BU40" i="1"/>
  <c r="CA40" i="1" s="1"/>
  <c r="CG40" i="1" s="1"/>
  <c r="AN42" i="1"/>
  <c r="BF42" i="1" s="1"/>
  <c r="BX42" i="1"/>
  <c r="CD42" i="1" s="1"/>
  <c r="CJ42" i="1" s="1"/>
  <c r="AI44" i="1"/>
  <c r="AQ45" i="1"/>
  <c r="BI45" i="1" s="1"/>
  <c r="BX46" i="1"/>
  <c r="CD46" i="1" s="1"/>
  <c r="CJ46" i="1" s="1"/>
  <c r="AW49" i="1"/>
  <c r="AN53" i="1"/>
  <c r="BF53" i="1" s="1"/>
  <c r="AL53" i="1"/>
  <c r="BC53" i="1" s="1"/>
  <c r="AQ53" i="1"/>
  <c r="BI53" i="1" s="1"/>
  <c r="AP53" i="1"/>
  <c r="BH53" i="1" s="1"/>
  <c r="BX53" i="1"/>
  <c r="CD53" i="1" s="1"/>
  <c r="CJ53" i="1" s="1"/>
  <c r="BW53" i="1"/>
  <c r="CC53" i="1" s="1"/>
  <c r="AM53" i="1"/>
  <c r="BD53" i="1" s="1"/>
  <c r="BV53" i="1"/>
  <c r="CB53" i="1" s="1"/>
  <c r="AK53" i="1"/>
  <c r="BB53" i="1" s="1"/>
  <c r="BG53" i="1" s="1"/>
  <c r="CS53" i="1" s="1"/>
  <c r="BU53" i="1"/>
  <c r="CA53" i="1" s="1"/>
  <c r="BG55" i="1"/>
  <c r="CS55" i="1" s="1"/>
  <c r="AP38" i="1"/>
  <c r="BH38" i="1" s="1"/>
  <c r="AP40" i="1"/>
  <c r="BH40" i="1" s="1"/>
  <c r="AP42" i="1"/>
  <c r="BH42" i="1" s="1"/>
  <c r="AH43" i="1"/>
  <c r="AK44" i="1"/>
  <c r="BB44" i="1" s="1"/>
  <c r="BG44" i="1" s="1"/>
  <c r="CS44" i="1" s="1"/>
  <c r="U55" i="1"/>
  <c r="AI55" i="1"/>
  <c r="AO55" i="1"/>
  <c r="BE55" i="1" s="1"/>
  <c r="AX55" i="1"/>
  <c r="BP55" i="1"/>
  <c r="BY55" i="1" s="1"/>
  <c r="CE55" i="1" s="1"/>
  <c r="AH55" i="1"/>
  <c r="AN47" i="1"/>
  <c r="BF47" i="1" s="1"/>
  <c r="BG47" i="1" s="1"/>
  <c r="CS47" i="1" s="1"/>
  <c r="AQ48" i="1"/>
  <c r="BI48" i="1" s="1"/>
  <c r="BW48" i="1"/>
  <c r="CC48" i="1" s="1"/>
  <c r="CI48" i="1" s="1"/>
  <c r="T49" i="1"/>
  <c r="U49" i="1" s="1"/>
  <c r="AM49" i="1"/>
  <c r="BD49" i="1" s="1"/>
  <c r="AH50" i="1"/>
  <c r="BW50" i="1"/>
  <c r="CC50" i="1" s="1"/>
  <c r="CI50" i="1" s="1"/>
  <c r="CG55" i="1"/>
  <c r="CH60" i="1"/>
  <c r="AY63" i="1"/>
  <c r="BU47" i="1"/>
  <c r="CA47" i="1" s="1"/>
  <c r="CG47" i="1" s="1"/>
  <c r="BX48" i="1"/>
  <c r="CD48" i="1" s="1"/>
  <c r="CJ48" i="1" s="1"/>
  <c r="AN49" i="1"/>
  <c r="BF49" i="1" s="1"/>
  <c r="BG49" i="1" s="1"/>
  <c r="CS49" i="1" s="1"/>
  <c r="AI50" i="1"/>
  <c r="BX50" i="1"/>
  <c r="CD50" i="1" s="1"/>
  <c r="CJ50" i="1" s="1"/>
  <c r="AI52" i="1"/>
  <c r="AX53" i="1"/>
  <c r="BP54" i="1"/>
  <c r="BY54" i="1" s="1"/>
  <c r="CE54" i="1" s="1"/>
  <c r="AI54" i="1"/>
  <c r="AH54" i="1"/>
  <c r="AX54" i="1"/>
  <c r="AO54" i="1"/>
  <c r="BE54" i="1" s="1"/>
  <c r="BV55" i="1"/>
  <c r="CB55" i="1" s="1"/>
  <c r="CH55" i="1" s="1"/>
  <c r="AP47" i="1"/>
  <c r="BH47" i="1" s="1"/>
  <c r="BV47" i="1"/>
  <c r="CB47" i="1" s="1"/>
  <c r="CH47" i="1" s="1"/>
  <c r="AK48" i="1"/>
  <c r="BB48" i="1" s="1"/>
  <c r="CG48" i="1" s="1"/>
  <c r="CL48" i="1" s="1"/>
  <c r="BU49" i="1"/>
  <c r="CA49" i="1" s="1"/>
  <c r="CG49" i="1" s="1"/>
  <c r="AK50" i="1"/>
  <c r="BB50" i="1" s="1"/>
  <c r="BP50" i="1"/>
  <c r="BY50" i="1" s="1"/>
  <c r="CE50" i="1" s="1"/>
  <c r="AL52" i="1"/>
  <c r="BC52" i="1" s="1"/>
  <c r="BG52" i="1" s="1"/>
  <c r="U53" i="1"/>
  <c r="AO53" i="1"/>
  <c r="BE53" i="1" s="1"/>
  <c r="U54" i="1"/>
  <c r="F64" i="1"/>
  <c r="AQ47" i="1"/>
  <c r="BI47" i="1" s="1"/>
  <c r="BW47" i="1"/>
  <c r="CC47" i="1" s="1"/>
  <c r="CI47" i="1" s="1"/>
  <c r="T48" i="1"/>
  <c r="U48" i="1" s="1"/>
  <c r="AL48" i="1"/>
  <c r="BC48" i="1" s="1"/>
  <c r="CH48" i="1" s="1"/>
  <c r="AP49" i="1"/>
  <c r="BH49" i="1" s="1"/>
  <c r="BV49" i="1"/>
  <c r="CB49" i="1" s="1"/>
  <c r="CH49" i="1" s="1"/>
  <c r="AL50" i="1"/>
  <c r="BC50" i="1" s="1"/>
  <c r="AM52" i="1"/>
  <c r="BD52" i="1" s="1"/>
  <c r="CI52" i="1" s="1"/>
  <c r="BU52" i="1"/>
  <c r="CA52" i="1" s="1"/>
  <c r="CG52" i="1" s="1"/>
  <c r="BP53" i="1"/>
  <c r="BY53" i="1" s="1"/>
  <c r="CE53" i="1" s="1"/>
  <c r="CG54" i="1"/>
  <c r="CL54" i="1" s="1"/>
  <c r="CM54" i="1" s="1"/>
  <c r="CR54" i="1" s="1"/>
  <c r="AQ49" i="1"/>
  <c r="BI49" i="1" s="1"/>
  <c r="BW49" i="1"/>
  <c r="CC49" i="1" s="1"/>
  <c r="CI49" i="1" s="1"/>
  <c r="AN52" i="1"/>
  <c r="BF52" i="1" s="1"/>
  <c r="BV52" i="1"/>
  <c r="CB52" i="1" s="1"/>
  <c r="CH54" i="1"/>
  <c r="T56" i="1"/>
  <c r="U56" i="1" s="1"/>
  <c r="BU59" i="1"/>
  <c r="CA59" i="1" s="1"/>
  <c r="CG59" i="1" s="1"/>
  <c r="AN59" i="1"/>
  <c r="BF59" i="1" s="1"/>
  <c r="AM59" i="1"/>
  <c r="BD59" i="1" s="1"/>
  <c r="AL59" i="1"/>
  <c r="BC59" i="1" s="1"/>
  <c r="AK59" i="1"/>
  <c r="BB59" i="1" s="1"/>
  <c r="BX59" i="1"/>
  <c r="CD59" i="1" s="1"/>
  <c r="CJ59" i="1" s="1"/>
  <c r="BW59" i="1"/>
  <c r="CC59" i="1" s="1"/>
  <c r="AQ59" i="1"/>
  <c r="BI59" i="1" s="1"/>
  <c r="BV59" i="1"/>
  <c r="CB59" i="1" s="1"/>
  <c r="CH59" i="1" s="1"/>
  <c r="CO60" i="1"/>
  <c r="CK60" i="1"/>
  <c r="CP60" i="1" s="1"/>
  <c r="BX49" i="1"/>
  <c r="CD49" i="1" s="1"/>
  <c r="CJ49" i="1" s="1"/>
  <c r="BG54" i="1"/>
  <c r="CS54" i="1" s="1"/>
  <c r="AN58" i="1"/>
  <c r="BF58" i="1" s="1"/>
  <c r="AM58" i="1"/>
  <c r="BD58" i="1" s="1"/>
  <c r="BX58" i="1"/>
  <c r="CD58" i="1" s="1"/>
  <c r="CJ58" i="1" s="1"/>
  <c r="CK58" i="1" s="1"/>
  <c r="CP58" i="1" s="1"/>
  <c r="BK58" i="1"/>
  <c r="AK58" i="1"/>
  <c r="BB58" i="1" s="1"/>
  <c r="BW58" i="1"/>
  <c r="CC58" i="1" s="1"/>
  <c r="BV58" i="1"/>
  <c r="CB58" i="1" s="1"/>
  <c r="CH58" i="1" s="1"/>
  <c r="AQ58" i="1"/>
  <c r="BI58" i="1" s="1"/>
  <c r="BU58" i="1"/>
  <c r="CA58" i="1" s="1"/>
  <c r="AP58" i="1"/>
  <c r="BH58" i="1" s="1"/>
  <c r="CI62" i="1"/>
  <c r="AO50" i="1"/>
  <c r="BE50" i="1" s="1"/>
  <c r="BX52" i="1"/>
  <c r="CD52" i="1" s="1"/>
  <c r="CJ52" i="1" s="1"/>
  <c r="CK52" i="1" s="1"/>
  <c r="CP52" i="1" s="1"/>
  <c r="AN55" i="1"/>
  <c r="BF55" i="1" s="1"/>
  <c r="AM55" i="1"/>
  <c r="BD55" i="1" s="1"/>
  <c r="AL55" i="1"/>
  <c r="BC55" i="1" s="1"/>
  <c r="BX55" i="1"/>
  <c r="CD55" i="1" s="1"/>
  <c r="CJ55" i="1" s="1"/>
  <c r="BW55" i="1"/>
  <c r="CC55" i="1" s="1"/>
  <c r="CI55" i="1" s="1"/>
  <c r="AX62" i="1"/>
  <c r="AO62" i="1"/>
  <c r="BE62" i="1" s="1"/>
  <c r="BP62" i="1"/>
  <c r="BY62" i="1" s="1"/>
  <c r="CE62" i="1" s="1"/>
  <c r="U62" i="1"/>
  <c r="AO57" i="1"/>
  <c r="BE57" i="1" s="1"/>
  <c r="BU57" i="1"/>
  <c r="CA57" i="1" s="1"/>
  <c r="AH58" i="1"/>
  <c r="AQ61" i="1"/>
  <c r="BI61" i="1" s="1"/>
  <c r="BW61" i="1"/>
  <c r="CC61" i="1" s="1"/>
  <c r="AH63" i="1"/>
  <c r="AM56" i="1"/>
  <c r="BD56" i="1" s="1"/>
  <c r="CI56" i="1" s="1"/>
  <c r="AP57" i="1"/>
  <c r="BH57" i="1" s="1"/>
  <c r="BV57" i="1"/>
  <c r="CB57" i="1" s="1"/>
  <c r="CH57" i="1" s="1"/>
  <c r="AI58" i="1"/>
  <c r="R59" i="1"/>
  <c r="AO60" i="1"/>
  <c r="BE60" i="1" s="1"/>
  <c r="BJ60" i="1" s="1"/>
  <c r="AX60" i="1"/>
  <c r="BU60" i="1"/>
  <c r="CA60" i="1" s="1"/>
  <c r="CG60" i="1" s="1"/>
  <c r="BX61" i="1"/>
  <c r="CD61" i="1" s="1"/>
  <c r="CJ61" i="1" s="1"/>
  <c r="AM62" i="1"/>
  <c r="BD62" i="1" s="1"/>
  <c r="BG62" i="1" s="1"/>
  <c r="CS62" i="1" s="1"/>
  <c r="AP64" i="1"/>
  <c r="BH64" i="1" s="1"/>
  <c r="AQ57" i="1"/>
  <c r="BI57" i="1" s="1"/>
  <c r="BW57" i="1"/>
  <c r="CC57" i="1" s="1"/>
  <c r="CI57" i="1" s="1"/>
  <c r="T59" i="1"/>
  <c r="AQ54" i="1"/>
  <c r="BI54" i="1" s="1"/>
  <c r="BU56" i="1"/>
  <c r="CA56" i="1" s="1"/>
  <c r="CG56" i="1" s="1"/>
  <c r="CL56" i="1" s="1"/>
  <c r="AI57" i="1"/>
  <c r="BX57" i="1"/>
  <c r="CD57" i="1" s="1"/>
  <c r="CJ57" i="1" s="1"/>
  <c r="CK57" i="1" s="1"/>
  <c r="CP57" i="1" s="1"/>
  <c r="AH60" i="1"/>
  <c r="AQ60" i="1"/>
  <c r="BI60" i="1" s="1"/>
  <c r="BW60" i="1"/>
  <c r="CC60" i="1" s="1"/>
  <c r="CI60" i="1" s="1"/>
  <c r="AL61" i="1"/>
  <c r="BC61" i="1" s="1"/>
  <c r="CH61" i="1" s="1"/>
  <c r="BU62" i="1"/>
  <c r="CA62" i="1" s="1"/>
  <c r="CG62" i="1" s="1"/>
  <c r="CL62" i="1" s="1"/>
  <c r="F63" i="1"/>
  <c r="AP63" i="1" s="1"/>
  <c r="BH63" i="1" s="1"/>
  <c r="AP56" i="1"/>
  <c r="BH56" i="1" s="1"/>
  <c r="BV56" i="1"/>
  <c r="CB56" i="1" s="1"/>
  <c r="CH56" i="1" s="1"/>
  <c r="AK57" i="1"/>
  <c r="BB57" i="1" s="1"/>
  <c r="BG57" i="1" s="1"/>
  <c r="CS57" i="1" s="1"/>
  <c r="AI60" i="1"/>
  <c r="T61" i="1"/>
  <c r="AM61" i="1"/>
  <c r="BD61" i="1" s="1"/>
  <c r="AP62" i="1"/>
  <c r="BH62" i="1" s="1"/>
  <c r="BV62" i="1"/>
  <c r="CB62" i="1" s="1"/>
  <c r="CH62" i="1" s="1"/>
  <c r="AQ56" i="1"/>
  <c r="BI56" i="1" s="1"/>
  <c r="AQ62" i="1"/>
  <c r="BI62" i="1" s="1"/>
  <c r="CS52" i="1" l="1"/>
  <c r="BJ52" i="1"/>
  <c r="CS26" i="1"/>
  <c r="BJ26" i="1"/>
  <c r="CM34" i="1"/>
  <c r="CR34" i="1" s="1"/>
  <c r="BP61" i="1"/>
  <c r="BY61" i="1" s="1"/>
  <c r="CE61" i="1" s="1"/>
  <c r="AI61" i="1"/>
  <c r="AH61" i="1"/>
  <c r="AO61" i="1"/>
  <c r="BE61" i="1" s="1"/>
  <c r="AX61" i="1"/>
  <c r="CO50" i="1"/>
  <c r="CK50" i="1"/>
  <c r="CP50" i="1" s="1"/>
  <c r="CL55" i="1"/>
  <c r="CM55" i="1" s="1"/>
  <c r="CR55" i="1" s="1"/>
  <c r="CL38" i="1"/>
  <c r="CM38" i="1" s="1"/>
  <c r="CR38" i="1" s="1"/>
  <c r="BJ4" i="1"/>
  <c r="CG57" i="1"/>
  <c r="CL57" i="1" s="1"/>
  <c r="CM57" i="1" s="1"/>
  <c r="CR57" i="1" s="1"/>
  <c r="CG58" i="1"/>
  <c r="CI59" i="1"/>
  <c r="BG50" i="1"/>
  <c r="CS50" i="1" s="1"/>
  <c r="CH53" i="1"/>
  <c r="CO44" i="1"/>
  <c r="CK44" i="1"/>
  <c r="CP44" i="1" s="1"/>
  <c r="BG45" i="1"/>
  <c r="CS45" i="1" s="1"/>
  <c r="CO51" i="1"/>
  <c r="CK51" i="1"/>
  <c r="CP51" i="1" s="1"/>
  <c r="CO37" i="1"/>
  <c r="CK37" i="1"/>
  <c r="CP37" i="1" s="1"/>
  <c r="BJ41" i="1"/>
  <c r="CI43" i="1"/>
  <c r="CH16" i="1"/>
  <c r="CO11" i="1"/>
  <c r="CK11" i="1"/>
  <c r="CP11" i="1" s="1"/>
  <c r="CO28" i="1"/>
  <c r="CK28" i="1"/>
  <c r="CP28" i="1" s="1"/>
  <c r="AX5" i="1"/>
  <c r="AO5" i="1"/>
  <c r="BE5" i="1" s="1"/>
  <c r="BP5" i="1"/>
  <c r="BY5" i="1" s="1"/>
  <c r="CE5" i="1" s="1"/>
  <c r="AI5" i="1"/>
  <c r="AH5" i="1"/>
  <c r="CK8" i="1"/>
  <c r="CP8" i="1" s="1"/>
  <c r="CO8" i="1"/>
  <c r="CI12" i="1"/>
  <c r="CL12" i="1" s="1"/>
  <c r="CM12" i="1" s="1"/>
  <c r="CR12" i="1" s="1"/>
  <c r="AH18" i="1"/>
  <c r="AX18" i="1"/>
  <c r="AO18" i="1"/>
  <c r="BE18" i="1" s="1"/>
  <c r="BJ18" i="1" s="1"/>
  <c r="BP18" i="1"/>
  <c r="BY18" i="1" s="1"/>
  <c r="CE18" i="1" s="1"/>
  <c r="AI18" i="1"/>
  <c r="CO10" i="1"/>
  <c r="CK10" i="1"/>
  <c r="CP10" i="1" s="1"/>
  <c r="CO35" i="1"/>
  <c r="CK35" i="1"/>
  <c r="CP35" i="1" s="1"/>
  <c r="AI30" i="1"/>
  <c r="AH30" i="1"/>
  <c r="AO30" i="1"/>
  <c r="BE30" i="1" s="1"/>
  <c r="BJ30" i="1" s="1"/>
  <c r="AX30" i="1"/>
  <c r="BP30" i="1"/>
  <c r="BY30" i="1" s="1"/>
  <c r="CE30" i="1" s="1"/>
  <c r="BJ11" i="1"/>
  <c r="BJ57" i="1"/>
  <c r="AL64" i="1"/>
  <c r="BC64" i="1" s="1"/>
  <c r="AK64" i="1"/>
  <c r="BB64" i="1" s="1"/>
  <c r="BX64" i="1"/>
  <c r="CD64" i="1" s="1"/>
  <c r="CJ64" i="1" s="1"/>
  <c r="BW64" i="1"/>
  <c r="CC64" i="1" s="1"/>
  <c r="AQ64" i="1"/>
  <c r="BI64" i="1" s="1"/>
  <c r="BV64" i="1"/>
  <c r="CB64" i="1" s="1"/>
  <c r="BU64" i="1"/>
  <c r="CA64" i="1" s="1"/>
  <c r="CG64" i="1" s="1"/>
  <c r="AO64" i="1"/>
  <c r="BE64" i="1" s="1"/>
  <c r="AN64" i="1"/>
  <c r="BF64" i="1" s="1"/>
  <c r="AM64" i="1"/>
  <c r="BD64" i="1" s="1"/>
  <c r="CL49" i="1"/>
  <c r="CM49" i="1" s="1"/>
  <c r="CR49" i="1" s="1"/>
  <c r="CL47" i="1"/>
  <c r="CM47" i="1" s="1"/>
  <c r="CR47" i="1" s="1"/>
  <c r="CG50" i="1"/>
  <c r="CL50" i="1" s="1"/>
  <c r="AX42" i="1"/>
  <c r="AO42" i="1"/>
  <c r="BE42" i="1" s="1"/>
  <c r="AI42" i="1"/>
  <c r="AH42" i="1"/>
  <c r="BP42" i="1"/>
  <c r="BY42" i="1" s="1"/>
  <c r="CE42" i="1" s="1"/>
  <c r="AX40" i="1"/>
  <c r="AO40" i="1"/>
  <c r="BE40" i="1" s="1"/>
  <c r="BJ40" i="1" s="1"/>
  <c r="BP40" i="1"/>
  <c r="BY40" i="1" s="1"/>
  <c r="CE40" i="1" s="1"/>
  <c r="AI40" i="1"/>
  <c r="AH40" i="1"/>
  <c r="AX36" i="1"/>
  <c r="AO36" i="1"/>
  <c r="BE36" i="1" s="1"/>
  <c r="BJ36" i="1" s="1"/>
  <c r="BP36" i="1"/>
  <c r="BY36" i="1" s="1"/>
  <c r="CE36" i="1" s="1"/>
  <c r="AI36" i="1"/>
  <c r="AH36" i="1"/>
  <c r="BG61" i="1"/>
  <c r="CS61" i="1" s="1"/>
  <c r="AX32" i="1"/>
  <c r="AO32" i="1"/>
  <c r="BE32" i="1" s="1"/>
  <c r="BJ32" i="1" s="1"/>
  <c r="AI32" i="1"/>
  <c r="BP32" i="1"/>
  <c r="BY32" i="1" s="1"/>
  <c r="CE32" i="1" s="1"/>
  <c r="AH32" i="1"/>
  <c r="CL25" i="1"/>
  <c r="CM25" i="1" s="1"/>
  <c r="CR25" i="1" s="1"/>
  <c r="CO29" i="1"/>
  <c r="CK29" i="1"/>
  <c r="CP29" i="1" s="1"/>
  <c r="BG20" i="1"/>
  <c r="CS20" i="1" s="1"/>
  <c r="CH22" i="1"/>
  <c r="CL22" i="1" s="1"/>
  <c r="CM22" i="1" s="1"/>
  <c r="CR22" i="1" s="1"/>
  <c r="CL21" i="1"/>
  <c r="CM21" i="1" s="1"/>
  <c r="CR21" i="1" s="1"/>
  <c r="U40" i="1"/>
  <c r="CL7" i="1"/>
  <c r="CM7" i="1" s="1"/>
  <c r="CR7" i="1" s="1"/>
  <c r="CO4" i="1"/>
  <c r="CK4" i="1"/>
  <c r="CP4" i="1" s="1"/>
  <c r="CH27" i="1"/>
  <c r="CL27" i="1" s="1"/>
  <c r="CM27" i="1" s="1"/>
  <c r="CR27" i="1" s="1"/>
  <c r="U18" i="1"/>
  <c r="AX59" i="1"/>
  <c r="AO59" i="1"/>
  <c r="BE59" i="1" s="1"/>
  <c r="BJ59" i="1" s="1"/>
  <c r="BP59" i="1"/>
  <c r="BY59" i="1" s="1"/>
  <c r="CE59" i="1" s="1"/>
  <c r="AI59" i="1"/>
  <c r="AH59" i="1"/>
  <c r="AH56" i="1"/>
  <c r="AX56" i="1"/>
  <c r="AO56" i="1"/>
  <c r="BE56" i="1" s="1"/>
  <c r="AI56" i="1"/>
  <c r="BP56" i="1"/>
  <c r="BY56" i="1" s="1"/>
  <c r="CE56" i="1" s="1"/>
  <c r="BG59" i="1"/>
  <c r="CS59" i="1" s="1"/>
  <c r="CH52" i="1"/>
  <c r="CL52" i="1" s="1"/>
  <c r="CM52" i="1" s="1"/>
  <c r="CR52" i="1" s="1"/>
  <c r="BY63" i="1"/>
  <c r="CE63" i="1" s="1"/>
  <c r="BG48" i="1"/>
  <c r="CS48" i="1" s="1"/>
  <c r="CO54" i="1"/>
  <c r="CK54" i="1"/>
  <c r="CP54" i="1" s="1"/>
  <c r="BY64" i="1"/>
  <c r="CE64" i="1" s="1"/>
  <c r="CK55" i="1"/>
  <c r="CP55" i="1" s="1"/>
  <c r="CO55" i="1"/>
  <c r="CI53" i="1"/>
  <c r="CI46" i="1"/>
  <c r="BJ47" i="1"/>
  <c r="CI26" i="1"/>
  <c r="U36" i="1"/>
  <c r="U32" i="1"/>
  <c r="CL39" i="1"/>
  <c r="CM39" i="1" s="1"/>
  <c r="CR39" i="1" s="1"/>
  <c r="BJ29" i="1"/>
  <c r="CG23" i="1"/>
  <c r="CL23" i="1" s="1"/>
  <c r="CM23" i="1" s="1"/>
  <c r="CR23" i="1" s="1"/>
  <c r="BJ39" i="1"/>
  <c r="CK31" i="1"/>
  <c r="CP31" i="1" s="1"/>
  <c r="CO31" i="1"/>
  <c r="CI36" i="1"/>
  <c r="CL36" i="1" s="1"/>
  <c r="CM36" i="1" s="1"/>
  <c r="CR36" i="1" s="1"/>
  <c r="CI20" i="1"/>
  <c r="BJ13" i="1"/>
  <c r="BJ16" i="1"/>
  <c r="CG8" i="1"/>
  <c r="CL8" i="1" s="1"/>
  <c r="CM8" i="1" s="1"/>
  <c r="CR8" i="1" s="1"/>
  <c r="BJ15" i="1"/>
  <c r="BJ10" i="1"/>
  <c r="CO6" i="1"/>
  <c r="CK6" i="1"/>
  <c r="CP6" i="1" s="1"/>
  <c r="CO62" i="1"/>
  <c r="CK62" i="1"/>
  <c r="CP62" i="1" s="1"/>
  <c r="CI58" i="1"/>
  <c r="BP49" i="1"/>
  <c r="BY49" i="1" s="1"/>
  <c r="CE49" i="1" s="1"/>
  <c r="AI49" i="1"/>
  <c r="AH49" i="1"/>
  <c r="AX49" i="1"/>
  <c r="AO49" i="1"/>
  <c r="BE49" i="1" s="1"/>
  <c r="BJ49" i="1" s="1"/>
  <c r="BJ43" i="1"/>
  <c r="CK43" i="1"/>
  <c r="CP43" i="1" s="1"/>
  <c r="CO43" i="1"/>
  <c r="CH46" i="1"/>
  <c r="CL46" i="1" s="1"/>
  <c r="CM46" i="1" s="1"/>
  <c r="CR46" i="1" s="1"/>
  <c r="BJ51" i="1"/>
  <c r="BJ35" i="1"/>
  <c r="CH26" i="1"/>
  <c r="CL26" i="1" s="1"/>
  <c r="CM26" i="1" s="1"/>
  <c r="CR26" i="1" s="1"/>
  <c r="BJ23" i="1"/>
  <c r="BG14" i="1"/>
  <c r="CS14" i="1" s="1"/>
  <c r="CI22" i="1"/>
  <c r="CH14" i="1"/>
  <c r="CK15" i="1"/>
  <c r="CP15" i="1" s="1"/>
  <c r="CO15" i="1"/>
  <c r="CI27" i="1"/>
  <c r="CM13" i="1"/>
  <c r="CR13" i="1" s="1"/>
  <c r="U61" i="1"/>
  <c r="AN63" i="1"/>
  <c r="BF63" i="1" s="1"/>
  <c r="AM63" i="1"/>
  <c r="BD63" i="1" s="1"/>
  <c r="AL63" i="1"/>
  <c r="BC63" i="1" s="1"/>
  <c r="AK63" i="1"/>
  <c r="BB63" i="1" s="1"/>
  <c r="BG63" i="1" s="1"/>
  <c r="CS63" i="1" s="1"/>
  <c r="BX63" i="1"/>
  <c r="CD63" i="1" s="1"/>
  <c r="CJ63" i="1" s="1"/>
  <c r="BW63" i="1"/>
  <c r="CC63" i="1" s="1"/>
  <c r="CI63" i="1" s="1"/>
  <c r="AQ63" i="1"/>
  <c r="BI63" i="1" s="1"/>
  <c r="BV63" i="1"/>
  <c r="CB63" i="1" s="1"/>
  <c r="CH63" i="1" s="1"/>
  <c r="BU63" i="1"/>
  <c r="CA63" i="1" s="1"/>
  <c r="AO63" i="1"/>
  <c r="BE63" i="1" s="1"/>
  <c r="CM56" i="1"/>
  <c r="CR56" i="1" s="1"/>
  <c r="CL60" i="1"/>
  <c r="CM60" i="1" s="1"/>
  <c r="CR60" i="1" s="1"/>
  <c r="BJ62" i="1"/>
  <c r="BJ50" i="1"/>
  <c r="BG58" i="1"/>
  <c r="BJ53" i="1"/>
  <c r="BJ55" i="1"/>
  <c r="BG56" i="1"/>
  <c r="CS56" i="1" s="1"/>
  <c r="BJ45" i="1"/>
  <c r="BG42" i="1"/>
  <c r="CS42" i="1" s="1"/>
  <c r="BJ37" i="1"/>
  <c r="CO33" i="1"/>
  <c r="CK33" i="1"/>
  <c r="CP33" i="1" s="1"/>
  <c r="CI28" i="1"/>
  <c r="BG43" i="1"/>
  <c r="CS43" i="1" s="1"/>
  <c r="CL24" i="1"/>
  <c r="CM24" i="1" s="1"/>
  <c r="CR24" i="1" s="1"/>
  <c r="AH22" i="1"/>
  <c r="AX22" i="1"/>
  <c r="AO22" i="1"/>
  <c r="BE22" i="1" s="1"/>
  <c r="BJ22" i="1" s="1"/>
  <c r="BP22" i="1"/>
  <c r="BY22" i="1" s="1"/>
  <c r="CE22" i="1" s="1"/>
  <c r="AI22" i="1"/>
  <c r="AX7" i="1"/>
  <c r="AO7" i="1"/>
  <c r="BE7" i="1" s="1"/>
  <c r="BJ7" i="1" s="1"/>
  <c r="BP7" i="1"/>
  <c r="BY7" i="1" s="1"/>
  <c r="CE7" i="1" s="1"/>
  <c r="AI7" i="1"/>
  <c r="AH7" i="1"/>
  <c r="BG5" i="1"/>
  <c r="CS5" i="1" s="1"/>
  <c r="CG5" i="1"/>
  <c r="CL5" i="1" s="1"/>
  <c r="CM5" i="1" s="1"/>
  <c r="CR5" i="1" s="1"/>
  <c r="AX12" i="1"/>
  <c r="AO12" i="1"/>
  <c r="BE12" i="1" s="1"/>
  <c r="BJ12" i="1" s="1"/>
  <c r="BP12" i="1"/>
  <c r="BY12" i="1" s="1"/>
  <c r="CE12" i="1" s="1"/>
  <c r="AI12" i="1"/>
  <c r="AH12" i="1"/>
  <c r="AH20" i="1"/>
  <c r="AX20" i="1"/>
  <c r="AO20" i="1"/>
  <c r="BE20" i="1" s="1"/>
  <c r="BJ20" i="1" s="1"/>
  <c r="AI20" i="1"/>
  <c r="BP20" i="1"/>
  <c r="BY20" i="1" s="1"/>
  <c r="CE20" i="1" s="1"/>
  <c r="BJ8" i="1"/>
  <c r="BG12" i="1"/>
  <c r="CS12" i="1" s="1"/>
  <c r="CL6" i="1"/>
  <c r="CM6" i="1" s="1"/>
  <c r="CR6" i="1" s="1"/>
  <c r="BJ27" i="1"/>
  <c r="BJ9" i="1"/>
  <c r="CO53" i="1"/>
  <c r="CK53" i="1"/>
  <c r="CP53" i="1" s="1"/>
  <c r="CM62" i="1"/>
  <c r="CR62" i="1" s="1"/>
  <c r="CI61" i="1"/>
  <c r="CL61" i="1" s="1"/>
  <c r="CM61" i="1" s="1"/>
  <c r="CR61" i="1" s="1"/>
  <c r="CO45" i="1"/>
  <c r="CK45" i="1"/>
  <c r="CP45" i="1" s="1"/>
  <c r="CH42" i="1"/>
  <c r="CL42" i="1" s="1"/>
  <c r="CM42" i="1" s="1"/>
  <c r="CR42" i="1" s="1"/>
  <c r="AX38" i="1"/>
  <c r="AO38" i="1"/>
  <c r="BE38" i="1" s="1"/>
  <c r="BJ38" i="1" s="1"/>
  <c r="BP38" i="1"/>
  <c r="BY38" i="1" s="1"/>
  <c r="CE38" i="1" s="1"/>
  <c r="AI38" i="1"/>
  <c r="AH38" i="1"/>
  <c r="AX34" i="1"/>
  <c r="AO34" i="1"/>
  <c r="BE34" i="1" s="1"/>
  <c r="BJ34" i="1" s="1"/>
  <c r="BP34" i="1"/>
  <c r="BY34" i="1" s="1"/>
  <c r="CE34" i="1" s="1"/>
  <c r="AI34" i="1"/>
  <c r="AH34" i="1"/>
  <c r="BG28" i="1"/>
  <c r="CS28" i="1" s="1"/>
  <c r="CL43" i="1"/>
  <c r="CM43" i="1" s="1"/>
  <c r="CR43" i="1" s="1"/>
  <c r="BG38" i="1"/>
  <c r="CS38" i="1" s="1"/>
  <c r="U34" i="1"/>
  <c r="CL18" i="1"/>
  <c r="CM18" i="1" s="1"/>
  <c r="CR18" i="1" s="1"/>
  <c r="CI11" i="1"/>
  <c r="CL11" i="1" s="1"/>
  <c r="CM11" i="1" s="1"/>
  <c r="CR11" i="1" s="1"/>
  <c r="CG44" i="1"/>
  <c r="CL44" i="1" s="1"/>
  <c r="CM44" i="1" s="1"/>
  <c r="CR44" i="1" s="1"/>
  <c r="CL14" i="1"/>
  <c r="CM14" i="1" s="1"/>
  <c r="CR14" i="1" s="1"/>
  <c r="U42" i="1"/>
  <c r="CK2" i="1"/>
  <c r="CP2" i="1" s="1"/>
  <c r="CO2" i="1"/>
  <c r="CH12" i="1"/>
  <c r="U12" i="1"/>
  <c r="U59" i="1"/>
  <c r="CL59" i="1"/>
  <c r="CM59" i="1" s="1"/>
  <c r="CR59" i="1" s="1"/>
  <c r="AX48" i="1"/>
  <c r="AO48" i="1"/>
  <c r="BE48" i="1" s="1"/>
  <c r="BJ48" i="1" s="1"/>
  <c r="BP48" i="1"/>
  <c r="BY48" i="1" s="1"/>
  <c r="CE48" i="1" s="1"/>
  <c r="AI48" i="1"/>
  <c r="AH48" i="1"/>
  <c r="BJ54" i="1"/>
  <c r="CG53" i="1"/>
  <c r="CL53" i="1" s="1"/>
  <c r="CM53" i="1" s="1"/>
  <c r="CR53" i="1" s="1"/>
  <c r="CL40" i="1"/>
  <c r="CM40" i="1" s="1"/>
  <c r="CR40" i="1" s="1"/>
  <c r="AX46" i="1"/>
  <c r="AO46" i="1"/>
  <c r="BE46" i="1" s="1"/>
  <c r="BJ46" i="1" s="1"/>
  <c r="AH46" i="1"/>
  <c r="BP46" i="1"/>
  <c r="BY46" i="1" s="1"/>
  <c r="CE46" i="1" s="1"/>
  <c r="AI46" i="1"/>
  <c r="CO47" i="1"/>
  <c r="CK47" i="1"/>
  <c r="CP47" i="1" s="1"/>
  <c r="BJ44" i="1"/>
  <c r="BJ25" i="1"/>
  <c r="CK27" i="1"/>
  <c r="CP27" i="1" s="1"/>
  <c r="CO27" i="1"/>
  <c r="CL28" i="1"/>
  <c r="CL33" i="1"/>
  <c r="CM33" i="1" s="1"/>
  <c r="CR33" i="1" s="1"/>
  <c r="AH24" i="1"/>
  <c r="AX24" i="1"/>
  <c r="AO24" i="1"/>
  <c r="BE24" i="1" s="1"/>
  <c r="BJ24" i="1" s="1"/>
  <c r="BP24" i="1"/>
  <c r="BY24" i="1" s="1"/>
  <c r="CE24" i="1" s="1"/>
  <c r="AI24" i="1"/>
  <c r="CL16" i="1"/>
  <c r="CM16" i="1" s="1"/>
  <c r="CR16" i="1" s="1"/>
  <c r="CO39" i="1"/>
  <c r="CK39" i="1"/>
  <c r="CP39" i="1" s="1"/>
  <c r="CL20" i="1"/>
  <c r="CM20" i="1" s="1"/>
  <c r="CR20" i="1" s="1"/>
  <c r="CG45" i="1"/>
  <c r="CL45" i="1" s="1"/>
  <c r="CM45" i="1" s="1"/>
  <c r="CR45" i="1" s="1"/>
  <c r="CK13" i="1"/>
  <c r="CP13" i="1" s="1"/>
  <c r="CO13" i="1"/>
  <c r="BJ6" i="1"/>
  <c r="BJ56" i="1" l="1"/>
  <c r="BJ28" i="1"/>
  <c r="BJ42" i="1"/>
  <c r="CL64" i="1"/>
  <c r="CO46" i="1"/>
  <c r="CK46" i="1"/>
  <c r="CP46" i="1" s="1"/>
  <c r="CH64" i="1"/>
  <c r="CK30" i="1"/>
  <c r="CP30" i="1" s="1"/>
  <c r="CO30" i="1"/>
  <c r="CO34" i="1"/>
  <c r="CK34" i="1"/>
  <c r="CP34" i="1" s="1"/>
  <c r="CM28" i="1"/>
  <c r="CR28" i="1" s="1"/>
  <c r="CK48" i="1"/>
  <c r="CP48" i="1" s="1"/>
  <c r="CO48" i="1"/>
  <c r="CK7" i="1"/>
  <c r="CP7" i="1" s="1"/>
  <c r="CO7" i="1"/>
  <c r="BJ63" i="1"/>
  <c r="CO49" i="1"/>
  <c r="CK49" i="1"/>
  <c r="CP49" i="1" s="1"/>
  <c r="BJ14" i="1"/>
  <c r="CO40" i="1"/>
  <c r="CK40" i="1"/>
  <c r="CP40" i="1" s="1"/>
  <c r="CM50" i="1"/>
  <c r="CR50" i="1" s="1"/>
  <c r="CL58" i="1"/>
  <c r="CM58" i="1" s="1"/>
  <c r="CR58" i="1" s="1"/>
  <c r="CK61" i="1"/>
  <c r="CP61" i="1" s="1"/>
  <c r="CO61" i="1"/>
  <c r="CO64" i="1"/>
  <c r="CK64" i="1"/>
  <c r="CP64" i="1" s="1"/>
  <c r="CO12" i="1"/>
  <c r="CK12" i="1"/>
  <c r="CP12" i="1" s="1"/>
  <c r="CG63" i="1"/>
  <c r="CL63" i="1" s="1"/>
  <c r="CM63" i="1" s="1"/>
  <c r="CR63" i="1" s="1"/>
  <c r="CK63" i="1"/>
  <c r="CP63" i="1" s="1"/>
  <c r="CO63" i="1"/>
  <c r="CI64" i="1"/>
  <c r="CO18" i="1"/>
  <c r="CK18" i="1"/>
  <c r="CP18" i="1" s="1"/>
  <c r="BJ61" i="1"/>
  <c r="CO22" i="1"/>
  <c r="CK22" i="1"/>
  <c r="CP22" i="1" s="1"/>
  <c r="CO56" i="1"/>
  <c r="CK56" i="1"/>
  <c r="CP56" i="1" s="1"/>
  <c r="CO24" i="1"/>
  <c r="CK24" i="1"/>
  <c r="CP24" i="1" s="1"/>
  <c r="CO20" i="1"/>
  <c r="CK20" i="1"/>
  <c r="CP20" i="1" s="1"/>
  <c r="CK5" i="1"/>
  <c r="CP5" i="1" s="1"/>
  <c r="CO5" i="1"/>
  <c r="CO32" i="1"/>
  <c r="CK32" i="1"/>
  <c r="CP32" i="1" s="1"/>
  <c r="CO38" i="1"/>
  <c r="CK38" i="1"/>
  <c r="CP38" i="1" s="1"/>
  <c r="CS58" i="1"/>
  <c r="BJ58" i="1"/>
  <c r="CK59" i="1"/>
  <c r="CP59" i="1" s="1"/>
  <c r="CO59" i="1"/>
  <c r="CO36" i="1"/>
  <c r="CK36" i="1"/>
  <c r="CP36" i="1" s="1"/>
  <c r="CO42" i="1"/>
  <c r="CK42" i="1"/>
  <c r="CP42" i="1" s="1"/>
  <c r="BG64" i="1"/>
  <c r="CS64" i="1" s="1"/>
  <c r="BJ5" i="1"/>
  <c r="CM48" i="1"/>
  <c r="CR48" i="1" s="1"/>
  <c r="CM64" i="1" l="1"/>
  <c r="CR64" i="1" s="1"/>
  <c r="BJ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rob_c</author>
    <author>Sabrina Javier</author>
    <author>Kelly O'Sullivan</author>
    <author>Analyst</author>
  </authors>
  <commentList>
    <comment ref="C1" authorId="0" shapeId="0" xr:uid="{CF10AC97-A70B-4DC2-B0AA-4E62200D55C9}">
      <text>
        <r>
          <rPr>
            <b/>
            <sz val="8"/>
            <color indexed="81"/>
            <rFont val="Tahoma"/>
            <family val="2"/>
          </rPr>
          <t>Analyst:</t>
        </r>
        <r>
          <rPr>
            <sz val="8"/>
            <color indexed="81"/>
            <rFont val="Tahoma"/>
            <family val="2"/>
          </rPr>
          <t xml:space="preserve">
Source:  Alaska Department of Labor and Workforce Development, Alaska Population Projections (https://live.laborstats.alaska.gov/pop/projections.cfm)
</t>
        </r>
      </text>
    </comment>
    <comment ref="D1" authorId="0" shapeId="0" xr:uid="{65EE8719-D6F0-4191-B02C-3A64352D7117}">
      <text>
        <r>
          <rPr>
            <b/>
            <sz val="8"/>
            <color indexed="81"/>
            <rFont val="Tahoma"/>
            <family val="2"/>
          </rPr>
          <t>Analyst:</t>
        </r>
        <r>
          <rPr>
            <sz val="8"/>
            <color indexed="81"/>
            <rFont val="Tahoma"/>
            <family val="2"/>
          </rPr>
          <t xml:space="preserve">
"Consumer Price Index for Anchorage Municipality &amp; U.S.
Not Seasonally Adjusted
All Items - All.1 Urban Consumers
(CPI-U) 1960-Present"
(https://live.laborstats.alaska.gov/cpi/index.cfm)</t>
        </r>
      </text>
    </comment>
    <comment ref="R1" authorId="1" shapeId="0" xr:uid="{A4A69E5B-82AD-4E41-996E-8471F8F75F1C}">
      <text>
        <r>
          <rPr>
            <b/>
            <sz val="9"/>
            <color indexed="81"/>
            <rFont val="Tahoma"/>
            <family val="2"/>
          </rPr>
          <t>LFD Analyst:</t>
        </r>
        <r>
          <rPr>
            <sz val="9"/>
            <color indexed="81"/>
            <rFont val="Tahoma"/>
            <family val="2"/>
          </rPr>
          <t xml:space="preserve">
Calculated by total UGF minus petro UGF</t>
        </r>
      </text>
    </comment>
    <comment ref="BM1" authorId="1" shapeId="0" xr:uid="{61F8D646-6B55-4779-9ABE-D4CD96B0D943}">
      <text>
        <r>
          <rPr>
            <b/>
            <sz val="9"/>
            <color indexed="81"/>
            <rFont val="Tahoma"/>
            <family val="2"/>
          </rPr>
          <t>LFD Analyst:</t>
        </r>
        <r>
          <rPr>
            <sz val="9"/>
            <color indexed="81"/>
            <rFont val="Tahoma"/>
            <family val="2"/>
          </rPr>
          <t xml:space="preserve">
Non-duplicated funds.</t>
        </r>
      </text>
    </comment>
    <comment ref="A2" authorId="0" shapeId="0" xr:uid="{C84D5F9F-1A94-4A0E-847F-E3DFFA1D1581}">
      <text>
        <r>
          <rPr>
            <b/>
            <sz val="8"/>
            <color indexed="81"/>
            <rFont val="Tahoma"/>
            <family val="2"/>
          </rPr>
          <t>Analyst:</t>
        </r>
        <r>
          <rPr>
            <sz val="8"/>
            <color indexed="81"/>
            <rFont val="Tahoma"/>
            <family val="2"/>
          </rPr>
          <t xml:space="preserve">
Alaska Statehood January 3, 1959. 59Supp column.
</t>
        </r>
      </text>
    </comment>
    <comment ref="AC2" authorId="1" shapeId="0" xr:uid="{420047CD-E1DA-4D07-8C11-0560DC5CFA41}">
      <text>
        <r>
          <rPr>
            <b/>
            <sz val="9"/>
            <color indexed="81"/>
            <rFont val="Tahoma"/>
            <family val="2"/>
          </rPr>
          <t>Fiscal Analyst:</t>
        </r>
        <r>
          <rPr>
            <sz val="9"/>
            <color indexed="81"/>
            <rFont val="Tahoma"/>
            <family val="2"/>
          </rPr>
          <t xml:space="preserve">
59Enacted + 59Supp</t>
        </r>
      </text>
    </comment>
    <comment ref="AA24" authorId="0" shapeId="0" xr:uid="{16FA8F3D-0A4D-4AD8-9930-2A92BCBDD383}">
      <text>
        <r>
          <rPr>
            <b/>
            <sz val="10"/>
            <color indexed="81"/>
            <rFont val="Tahoma"/>
            <family val="2"/>
          </rPr>
          <t>Analyst:</t>
        </r>
        <r>
          <rPr>
            <sz val="10"/>
            <color indexed="81"/>
            <rFont val="Tahoma"/>
            <family val="2"/>
          </rPr>
          <t xml:space="preserve">
Supplemental from SLA82</t>
        </r>
      </text>
    </comment>
    <comment ref="A25" authorId="1" shapeId="0" xr:uid="{72D1E556-5149-4EFF-BAE2-46DFFF08BD6A}">
      <text>
        <r>
          <rPr>
            <b/>
            <sz val="9"/>
            <color indexed="81"/>
            <rFont val="Tahoma"/>
            <family val="2"/>
          </rPr>
          <t xml:space="preserve">LFD Analyst: </t>
        </r>
        <r>
          <rPr>
            <sz val="9"/>
            <color indexed="81"/>
            <rFont val="Tahoma"/>
            <family val="2"/>
          </rPr>
          <t>1982 - First dividend payout.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5" authorId="0" shapeId="0" xr:uid="{5467D341-3BFB-445A-A4BE-8464C7BD3817}">
      <text>
        <r>
          <rPr>
            <b/>
            <sz val="10"/>
            <color indexed="81"/>
            <rFont val="Tahoma"/>
            <family val="2"/>
          </rPr>
          <t>Analyst:</t>
        </r>
        <r>
          <rPr>
            <sz val="10"/>
            <color indexed="81"/>
            <rFont val="Tahoma"/>
            <family val="2"/>
          </rPr>
          <t xml:space="preserve">
ANS West Coast not available FY82-86. Used WTI less $2.50 (average differential to ANS).</t>
        </r>
      </text>
    </comment>
    <comment ref="AD25" authorId="1" shapeId="0" xr:uid="{33240262-6CAA-4F42-919F-060CD9312EC1}">
      <text>
        <r>
          <rPr>
            <b/>
            <sz val="9"/>
            <color indexed="81"/>
            <rFont val="Tahoma"/>
            <family val="2"/>
          </rPr>
          <t>Analyst:</t>
        </r>
        <r>
          <rPr>
            <sz val="9"/>
            <color indexed="81"/>
            <rFont val="Tahoma"/>
            <family val="2"/>
          </rPr>
          <t xml:space="preserve">
This amount didn't go out until the following year due to lawsuit.</t>
        </r>
      </text>
    </comment>
    <comment ref="BM25" authorId="1" shapeId="0" xr:uid="{45967DD1-459F-4E0E-85A5-BD5BD691144A}">
      <text>
        <r>
          <rPr>
            <b/>
            <sz val="9"/>
            <color indexed="81"/>
            <rFont val="Tahoma"/>
            <family val="2"/>
          </rPr>
          <t>Analyst:</t>
        </r>
        <r>
          <rPr>
            <sz val="9"/>
            <color indexed="81"/>
            <rFont val="Tahoma"/>
            <family val="2"/>
          </rPr>
          <t xml:space="preserve">
First FY that appropriations were made separately to each agency (instead of just Exexutive Branch-wide Approps).</t>
        </r>
      </text>
    </comment>
    <comment ref="AG29" authorId="2" shapeId="0" xr:uid="{1457F61A-DB34-4756-9F32-1627E105B809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Txr from loan funds to GF</t>
        </r>
      </text>
    </comment>
    <comment ref="AA34" authorId="0" shapeId="0" xr:uid="{79155D1D-0253-4561-97E0-453E4F7BC84E}">
      <text>
        <r>
          <rPr>
            <b/>
            <sz val="10"/>
            <color indexed="81"/>
            <rFont val="Tahoma"/>
            <family val="2"/>
          </rPr>
          <t xml:space="preserve">Analyst:
</t>
        </r>
        <r>
          <rPr>
            <sz val="10"/>
            <color indexed="81"/>
            <rFont val="Tahoma"/>
            <family val="2"/>
          </rPr>
          <t>$1.5 million for dividends (Sec 3, Ch 197, SLA 90)</t>
        </r>
      </text>
    </comment>
    <comment ref="AG48" authorId="2" shapeId="0" xr:uid="{7EDD92BC-AF9A-4F7F-B444-30C4A0F3FF90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Incl $401.6 to CBR</t>
        </r>
      </text>
    </comment>
    <comment ref="T49" authorId="0" shapeId="0" xr:uid="{5BB86EFA-13ED-4D9D-9F5A-937DF481389F}">
      <text>
        <r>
          <rPr>
            <b/>
            <sz val="10"/>
            <color indexed="81"/>
            <rFont val="Tahoma"/>
            <family val="2"/>
          </rPr>
          <t>rob_c:</t>
        </r>
        <r>
          <rPr>
            <sz val="10"/>
            <color indexed="81"/>
            <rFont val="Tahoma"/>
            <family val="2"/>
          </rPr>
          <t xml:space="preserve">
PPT effective with retroactivity to last quarter FY06</t>
        </r>
      </text>
    </comment>
    <comment ref="AG49" authorId="2" shapeId="0" xr:uid="{7400AE39-C01A-4EC0-81FB-E6373EC5FC67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$300.0 to AHCC, $5.82 to PCE and balance to PEF</t>
        </r>
      </text>
    </comment>
    <comment ref="AC50" authorId="2" shapeId="0" xr:uid="{D7C1DFFA-FF2A-4C04-B38D-74E81BE35303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Includes cap fund txrs</t>
        </r>
      </text>
    </comment>
    <comment ref="AG50" authorId="2" shapeId="0" xr:uid="{C92586F2-137E-4ADC-AF0F-EE4BF49CC6A1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Incl $50M to CBR</t>
        </r>
      </text>
    </comment>
    <comment ref="T51" authorId="0" shapeId="0" xr:uid="{8AACE034-EEC8-4FB0-8981-A888E0B3A3A5}">
      <text>
        <r>
          <rPr>
            <b/>
            <sz val="10"/>
            <color indexed="81"/>
            <rFont val="Tahoma"/>
            <family val="2"/>
          </rPr>
          <t>Analyst:</t>
        </r>
        <r>
          <rPr>
            <sz val="10"/>
            <color indexed="81"/>
            <rFont val="Tahoma"/>
            <family val="2"/>
          </rPr>
          <t xml:space="preserve">
ACES effective July, 1 2007 (FY08)</t>
        </r>
      </text>
    </comment>
    <comment ref="AC51" authorId="2" shapeId="0" xr:uid="{766B1D03-9095-4F6A-8CE6-B69FE7D7D6D3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Includes cap fund txrs.</t>
        </r>
      </text>
    </comment>
    <comment ref="AG51" authorId="2" shapeId="0" xr:uid="{17F830EA-7F62-4455-9F35-E534DBD89267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Incl $3B to CBR and $1B to SBR</t>
        </r>
      </text>
    </comment>
    <comment ref="S52" authorId="2" shapeId="0" xr:uid="{5A0D9B42-61CA-41A6-9F07-6838CC2D1D3E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No UGF/DGF breakout. Not sure if carryforward prior to FY10 is UGF.</t>
        </r>
      </text>
    </comment>
    <comment ref="AC52" authorId="2" shapeId="0" xr:uid="{CD56E489-161A-42A5-BFA2-E19C8198DAAE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Includes $50M capital fund txr Renewable Energy Fund</t>
        </r>
      </text>
    </comment>
    <comment ref="AC53" authorId="2" shapeId="0" xr:uid="{13933BB7-D5F1-4B2C-9587-C8C1647F6CD0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Includes $25M Renewable Energy fund txr</t>
        </r>
      </text>
    </comment>
    <comment ref="AG53" authorId="2" shapeId="0" xr:uid="{2FCE8A3C-BB20-45B0-AE6B-89998922FA19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Incl. $401.6M to CBR &amp; $6.23M to SBR.</t>
        </r>
      </text>
    </comment>
    <comment ref="AC54" authorId="2" shapeId="0" xr:uid="{65C389E2-BD4D-4B16-ADDD-740597B5DC90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Includes $25M Renewable Energy and $10M Power Project Fund Txrs</t>
        </r>
      </text>
    </comment>
    <comment ref="AG54" authorId="2" shapeId="0" xr:uid="{34614F2C-5D13-4314-A567-510FC6A2A4A6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Incl $1.05B to SBR.</t>
        </r>
      </text>
    </comment>
    <comment ref="AC55" authorId="2" shapeId="0" xr:uid="{02D3A77D-F5A9-48EA-AF40-84D753D3C7C7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Includes $26.6202 Renewable Energy fund txr</t>
        </r>
      </text>
    </comment>
    <comment ref="AG55" authorId="2" shapeId="0" xr:uid="{0B6B9E19-1B4F-465B-9437-13CAD1CA8B53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Incl $1.8B to SBR</t>
        </r>
      </text>
    </comment>
    <comment ref="AC56" authorId="2" shapeId="0" xr:uid="{E2F6E03F-80E9-4E1A-826B-896E5293CC28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Includes $25.8707 Renewable Energy fund txr</t>
        </r>
      </text>
    </comment>
    <comment ref="AG56" authorId="2" shapeId="0" xr:uid="{DE2D74DA-345A-45C9-BE89-EC4EC0DE0DAB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Excl ACIF was DGF</t>
        </r>
      </text>
    </comment>
    <comment ref="AG57" authorId="2" shapeId="0" xr:uid="{DAF8C5EB-1940-4CAF-8A63-31840B8B7C7A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Excl ACIF which was DGF revenue.</t>
        </r>
      </text>
    </comment>
    <comment ref="AA58" authorId="2" shapeId="0" xr:uid="{7FED9FC3-134F-4581-82B7-FE2821093B9A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Incl REAA $39.9961</t>
        </r>
      </text>
    </comment>
    <comment ref="AF58" authorId="2" shapeId="0" xr:uid="{F45F7318-B138-4557-B7D9-F0D109028FA7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Total Stwd is $3,964.2. Actual Retirement approp from CBR is $3M ($2.3B in special and $.7B in stwd ops retirement). Previous amt of $2,322.4 included settlements/claims.</t>
        </r>
      </text>
    </comment>
    <comment ref="AG59" authorId="2" shapeId="0" xr:uid="{4AAA9AFD-0DB9-45DA-9690-8FF0FFCEE062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ACIF is DGF in FY16 and prior. Exclude from UGF fund txrs. REAA is included in fund caps.</t>
        </r>
      </text>
    </comment>
    <comment ref="AG60" authorId="2" shapeId="0" xr:uid="{A1445A72-84C6-477F-B648-89DB28DDC6E2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ACIF is UGF in FY17 DOR History. Incl $20M from SBR. </t>
        </r>
      </text>
    </comment>
    <comment ref="AG61" authorId="2" shapeId="0" xr:uid="{C1529018-EFD4-47B1-A872-5B9CB7CBA700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ACIF is UGF in DOR forecast. Incl $95.6M from SBR.</t>
        </r>
      </text>
    </comment>
    <comment ref="T62" authorId="1" shapeId="0" xr:uid="{AA9D83AF-297C-472B-BEE3-2593B314F30C}">
      <text>
        <r>
          <rPr>
            <b/>
            <sz val="9"/>
            <color indexed="81"/>
            <rFont val="Tahoma"/>
            <family val="2"/>
          </rPr>
          <t>Analyst:</t>
        </r>
        <r>
          <rPr>
            <sz val="9"/>
            <color indexed="81"/>
            <rFont val="Tahoma"/>
            <family val="2"/>
          </rPr>
          <t xml:space="preserve">
Manually entered from RSB (Total UGF not including PF transfer) from table 2-5.</t>
        </r>
      </text>
    </comment>
    <comment ref="X62" authorId="3" shapeId="0" xr:uid="{FE08398C-A321-44AD-BDE8-47B42753832B}">
      <text>
        <r>
          <rPr>
            <b/>
            <sz val="8"/>
            <color indexed="81"/>
            <rFont val="Tahoma"/>
            <family val="2"/>
          </rPr>
          <t>Analyst:</t>
        </r>
        <r>
          <rPr>
            <sz val="8"/>
            <color indexed="81"/>
            <rFont val="Tahoma"/>
            <family val="2"/>
          </rPr>
          <t xml:space="preserve">
Total UGF including PMV minus Dividend transfer amount. 
</t>
        </r>
      </text>
    </comment>
    <comment ref="AG62" authorId="2" shapeId="0" xr:uid="{DBA0C46D-E65F-4D97-9487-6178E2C2B389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ACIF is DGF in DOR revenue forecast so excluded from fund txr approp</t>
        </r>
      </text>
    </comment>
    <comment ref="C63" authorId="3" shapeId="0" xr:uid="{5A7655BE-ABBD-4B41-A33E-60EA50FD9320}">
      <text>
        <r>
          <rPr>
            <b/>
            <sz val="8"/>
            <color indexed="81"/>
            <rFont val="Tahoma"/>
            <family val="2"/>
          </rPr>
          <t>Analyst:</t>
        </r>
        <r>
          <rPr>
            <sz val="8"/>
            <color indexed="81"/>
            <rFont val="Tahoma"/>
            <family val="2"/>
          </rPr>
          <t xml:space="preserve">
DLWD Low case projection</t>
        </r>
      </text>
    </comment>
    <comment ref="AG63" authorId="2" shapeId="0" xr:uid="{F200C2F0-FB49-4AEF-9954-BEFE369FF9CA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ACIF is DGF. Incl $172.4 SBR approp.</t>
        </r>
      </text>
    </comment>
    <comment ref="BM63" authorId="3" shapeId="0" xr:uid="{3B2C33BC-92A9-40FA-99E0-F1D30465F14E}">
      <text>
        <r>
          <rPr>
            <b/>
            <sz val="8"/>
            <color indexed="81"/>
            <rFont val="Tahoma"/>
            <family val="2"/>
          </rPr>
          <t>Analyst:</t>
        </r>
        <r>
          <rPr>
            <sz val="8"/>
            <color indexed="81"/>
            <rFont val="Tahoma"/>
            <family val="2"/>
          </rPr>
          <t xml:space="preserve">
Data from FnlBud (non-duplicated)</t>
        </r>
      </text>
    </comment>
    <comment ref="C64" authorId="1" shapeId="0" xr:uid="{ADB3D3B6-E9AB-40B6-9A87-158366DF9E31}">
      <text>
        <r>
          <rPr>
            <b/>
            <sz val="9"/>
            <color indexed="81"/>
            <rFont val="Tahoma"/>
            <family val="2"/>
          </rPr>
          <t>Analyst:</t>
        </r>
        <r>
          <rPr>
            <sz val="9"/>
            <color indexed="81"/>
            <rFont val="Tahoma"/>
            <family val="2"/>
          </rPr>
          <t xml:space="preserve">
DOLWD low case projection (as of 10/2020)</t>
        </r>
      </text>
    </comment>
    <comment ref="Z64" authorId="1" shapeId="0" xr:uid="{4EC02EA1-178A-47EB-A8EE-00E2C900A6F0}">
      <text>
        <r>
          <rPr>
            <b/>
            <sz val="9"/>
            <color indexed="81"/>
            <rFont val="Tahoma"/>
            <family val="2"/>
          </rPr>
          <t>Analyst:</t>
        </r>
        <r>
          <rPr>
            <sz val="9"/>
            <color indexed="81"/>
            <rFont val="Tahoma"/>
            <family val="2"/>
          </rPr>
          <t xml:space="preserve">
21Budget column as of 9/14/20.</t>
        </r>
      </text>
    </comment>
    <comment ref="AC64" authorId="1" shapeId="0" xr:uid="{79DF90CD-86D7-458F-B3DB-CB27AAA4B62E}">
      <text>
        <r>
          <rPr>
            <b/>
            <sz val="9"/>
            <color indexed="81"/>
            <rFont val="Tahoma"/>
            <family val="2"/>
          </rPr>
          <t>Analyst:</t>
        </r>
        <r>
          <rPr>
            <sz val="9"/>
            <color indexed="81"/>
            <rFont val="Tahoma"/>
            <family val="2"/>
          </rPr>
          <t xml:space="preserve">
21FnlBud Column as of 9/14/20</t>
        </r>
      </text>
    </comment>
    <comment ref="AG64" authorId="2" shapeId="0" xr:uid="{ED64E56F-F63B-4F82-A76C-E2E923A64240}">
      <text>
        <r>
          <rPr>
            <b/>
            <sz val="9"/>
            <color indexed="81"/>
            <rFont val="Tahoma"/>
            <family val="2"/>
          </rPr>
          <t>Kelly O'Sullivan:</t>
        </r>
        <r>
          <rPr>
            <sz val="9"/>
            <color indexed="81"/>
            <rFont val="Tahoma"/>
            <family val="2"/>
          </rPr>
          <t xml:space="preserve">
ACIF is DGF</t>
        </r>
      </text>
    </comment>
    <comment ref="BM64" authorId="3" shapeId="0" xr:uid="{EEA88B1A-FBD0-4E26-AB3A-03FE574FA9C9}">
      <text>
        <r>
          <rPr>
            <b/>
            <sz val="8"/>
            <color indexed="81"/>
            <rFont val="Tahoma"/>
            <family val="2"/>
          </rPr>
          <t>Analyst:</t>
        </r>
        <r>
          <rPr>
            <sz val="8"/>
            <color indexed="81"/>
            <rFont val="Tahoma"/>
            <family val="2"/>
          </rPr>
          <t xml:space="preserve">
Data from 21Budget column (non-duplicated)</t>
        </r>
      </text>
    </comment>
    <comment ref="C65" authorId="1" shapeId="0" xr:uid="{AB505F4A-10EB-4AC9-ADEE-C284257FFA37}">
      <text>
        <r>
          <rPr>
            <b/>
            <sz val="9"/>
            <color indexed="81"/>
            <rFont val="Tahoma"/>
            <family val="2"/>
          </rPr>
          <t>Analyst:</t>
        </r>
        <r>
          <rPr>
            <sz val="9"/>
            <color indexed="81"/>
            <rFont val="Tahoma"/>
            <family val="2"/>
          </rPr>
          <t xml:space="preserve">
DOLWD low case projection as of 10/2020.</t>
        </r>
      </text>
    </comment>
    <comment ref="R65" authorId="3" shapeId="0" xr:uid="{105C412E-8F53-4937-AC8C-147AAFAF532A}">
      <text>
        <r>
          <rPr>
            <b/>
            <sz val="8"/>
            <color indexed="81"/>
            <rFont val="Tahoma"/>
            <family val="2"/>
          </rPr>
          <t>Analyst:</t>
        </r>
        <r>
          <rPr>
            <sz val="8"/>
            <color indexed="81"/>
            <rFont val="Tahoma"/>
            <family val="2"/>
          </rPr>
          <t xml:space="preserve">
Calculation changes in outyears based on data entry from RSB in the T column.</t>
        </r>
      </text>
    </comment>
    <comment ref="T65" authorId="3" shapeId="0" xr:uid="{E5A1E86E-2E7D-4C63-AC3E-A3A4E9C28E88}">
      <text>
        <r>
          <rPr>
            <b/>
            <sz val="8"/>
            <color indexed="81"/>
            <rFont val="Tahoma"/>
            <family val="2"/>
          </rPr>
          <t>Analyst:</t>
        </r>
        <r>
          <rPr>
            <sz val="8"/>
            <color indexed="81"/>
            <rFont val="Tahoma"/>
            <family val="2"/>
          </rPr>
          <t xml:space="preserve">
Formula changes for outyear calculations. Manual Data entry from RSB.</t>
        </r>
      </text>
    </comment>
    <comment ref="X65" authorId="3" shapeId="0" xr:uid="{27728B8D-FF50-4CD7-AB82-23277CC7BD60}">
      <text>
        <r>
          <rPr>
            <b/>
            <sz val="8"/>
            <color indexed="81"/>
            <rFont val="Tahoma"/>
            <family val="2"/>
          </rPr>
          <t>Analyst:</t>
        </r>
        <r>
          <rPr>
            <sz val="8"/>
            <color indexed="81"/>
            <rFont val="Tahoma"/>
            <family val="2"/>
          </rPr>
          <t xml:space="preserve">
First outyear without PFD transfer subtracted. </t>
        </r>
      </text>
    </comment>
  </commentList>
</comments>
</file>

<file path=xl/sharedStrings.xml><?xml version="1.0" encoding="utf-8"?>
<sst xmlns="http://schemas.openxmlformats.org/spreadsheetml/2006/main" count="226" uniqueCount="171">
  <si>
    <t>FY</t>
  </si>
  <si>
    <t>Governor</t>
  </si>
  <si>
    <t>Population</t>
  </si>
  <si>
    <t>CPI</t>
  </si>
  <si>
    <t>CPI % Change</t>
  </si>
  <si>
    <t>CPI Deflator</t>
  </si>
  <si>
    <t>ANS Average $/bbl</t>
  </si>
  <si>
    <t>Petroleum Property Tax</t>
  </si>
  <si>
    <t>Corporation Petroleum Income Tax</t>
  </si>
  <si>
    <t>Production Tax</t>
  </si>
  <si>
    <t>Reserve Tax</t>
  </si>
  <si>
    <t>Haz Release</t>
  </si>
  <si>
    <t>Royalties</t>
  </si>
  <si>
    <t>Bonuses, Rents, interest</t>
  </si>
  <si>
    <t>Petroleum Special Settlements</t>
  </si>
  <si>
    <t>Total Unrestricted Petroleum Revenue</t>
  </si>
  <si>
    <t>Cumulative TOTAL Unrestricted Petroleum Revenue</t>
  </si>
  <si>
    <t>Other UGF Revenue</t>
  </si>
  <si>
    <t>Carryforward other LFD Adjustments</t>
  </si>
  <si>
    <t>Total UGF Revenue</t>
  </si>
  <si>
    <t>% Petroleum of Total UGF Revenue</t>
  </si>
  <si>
    <t>POMV</t>
  </si>
  <si>
    <t>PFD from ERA</t>
  </si>
  <si>
    <t>Total UGF w/ POMV</t>
  </si>
  <si>
    <t>Agency Ops (UGF)</t>
  </si>
  <si>
    <t>Statewide Ops (UGF)</t>
  </si>
  <si>
    <t>Total Operating (UGF)</t>
  </si>
  <si>
    <t>Capital (UGF)</t>
  </si>
  <si>
    <t>Perm Fund Dividends</t>
  </si>
  <si>
    <t>Total Budget (UGF)</t>
  </si>
  <si>
    <t>CBR to Retirement
(FY15)</t>
  </si>
  <si>
    <t>Fund Transfers</t>
  </si>
  <si>
    <t>Budget Draws</t>
  </si>
  <si>
    <t>Net Fund Transfers</t>
  </si>
  <si>
    <t>Real Agency Ops</t>
  </si>
  <si>
    <t>Real Statewide Ops</t>
  </si>
  <si>
    <t>Real Capital</t>
  </si>
  <si>
    <t>Real PFD</t>
  </si>
  <si>
    <t>Real UGF Revenue</t>
  </si>
  <si>
    <t>Real POMV</t>
  </si>
  <si>
    <t>Real PFD from ERA</t>
  </si>
  <si>
    <t>Per Capita Agency Ops</t>
  </si>
  <si>
    <t>Per Capita Statewide Ops</t>
  </si>
  <si>
    <t>Per Capita Capital</t>
  </si>
  <si>
    <t>Per Capita PFD</t>
  </si>
  <si>
    <t>Per Capita Total Budget</t>
  </si>
  <si>
    <t>Per Capita UGF Revenue</t>
  </si>
  <si>
    <t>Per Capita POMV</t>
  </si>
  <si>
    <t>Per Capita PFD from ERA</t>
  </si>
  <si>
    <t>Real Per Capita Agency Ops</t>
  </si>
  <si>
    <t>Real Per Capita Statewide Ops</t>
  </si>
  <si>
    <t>Real Per Capita Capital</t>
  </si>
  <si>
    <t>Real Per Capita UGF Revenue</t>
  </si>
  <si>
    <t>Real Per Capita PFD</t>
  </si>
  <si>
    <t>Real Per Cap Total Bud UGF</t>
  </si>
  <si>
    <t>Real Per Capita POMV</t>
  </si>
  <si>
    <t>Real Per Capita PFD from ERA</t>
  </si>
  <si>
    <t>Real Per Capita Net Fund Transfers</t>
  </si>
  <si>
    <t>Real Per Capita CBR to Retirement</t>
  </si>
  <si>
    <t>Agency Ops (DGF/Other/Fed)</t>
  </si>
  <si>
    <t>Stwd Ops (DGF/Other/Fed)</t>
  </si>
  <si>
    <t>Capital (DGF/Other/Fed)</t>
  </si>
  <si>
    <t>Total Revenue</t>
  </si>
  <si>
    <t>Agency Ops All Funds</t>
  </si>
  <si>
    <t>Stwd Ops All Funds</t>
  </si>
  <si>
    <t>Capital All Funds</t>
  </si>
  <si>
    <t>Real Agency Ops (DGF/Other/Fed)</t>
  </si>
  <si>
    <t>Real Stwd Ops (DGF/Other/Fed)</t>
  </si>
  <si>
    <t>Real Capital (DGF/Other/Fed)</t>
  </si>
  <si>
    <t>Real Perm Funds</t>
  </si>
  <si>
    <t>Real Total Revenue</t>
  </si>
  <si>
    <t>Real Per Cap Agency Ops (DGF/Other/Fed)</t>
  </si>
  <si>
    <t>Real Per Cap Stwd Ops (DGF/Other/Fed)</t>
  </si>
  <si>
    <t>Real Per Cap Capital (DGF/Other/Fed)</t>
  </si>
  <si>
    <t>Real Per Cap Perm Funds</t>
  </si>
  <si>
    <t>Real Per Cap Total Revenue</t>
  </si>
  <si>
    <t>Real Per Cap Agency Ops (All Funds)</t>
  </si>
  <si>
    <t>Real Per Cap Stwd Ops (All Funds)</t>
  </si>
  <si>
    <t>Real Per Cap Capital (All Funds)</t>
  </si>
  <si>
    <t>Real Per Cap Total Revenue w/ PFDs</t>
  </si>
  <si>
    <t>Real Per Cap Total Bud (All Funds)</t>
  </si>
  <si>
    <t>Real Per Cap Total Bud (DGF/Other/Fed)</t>
  </si>
  <si>
    <t xml:space="preserve"> Real Total Revenue/ Excluding PFDs</t>
  </si>
  <si>
    <t xml:space="preserve"> Real Total Revenue/With PFDs</t>
  </si>
  <si>
    <t>Per capita Perm Funds</t>
  </si>
  <si>
    <t>Per Capita Total budget (DGF/Other/Fed)</t>
  </si>
  <si>
    <t>Per capita Total budget UGF</t>
  </si>
  <si>
    <t>FY59</t>
  </si>
  <si>
    <t>Egan</t>
  </si>
  <si>
    <t>FY60</t>
  </si>
  <si>
    <t>FY61</t>
  </si>
  <si>
    <t>FY62</t>
  </si>
  <si>
    <t>FY63</t>
  </si>
  <si>
    <t>FY64</t>
  </si>
  <si>
    <t>FY65</t>
  </si>
  <si>
    <t>FY66</t>
  </si>
  <si>
    <t>FY67</t>
  </si>
  <si>
    <t>Hickel</t>
  </si>
  <si>
    <t>FY68</t>
  </si>
  <si>
    <t>FY69</t>
  </si>
  <si>
    <t>FY70</t>
  </si>
  <si>
    <t>FY71</t>
  </si>
  <si>
    <t>FY72</t>
  </si>
  <si>
    <t>FY73</t>
  </si>
  <si>
    <t>FY74</t>
  </si>
  <si>
    <t>FY75</t>
  </si>
  <si>
    <t>Hammond</t>
  </si>
  <si>
    <t>FY76</t>
  </si>
  <si>
    <t>FY77</t>
  </si>
  <si>
    <t>FY78</t>
  </si>
  <si>
    <t>FY79</t>
  </si>
  <si>
    <t>FY80</t>
  </si>
  <si>
    <t>FY81</t>
  </si>
  <si>
    <t>FY82</t>
  </si>
  <si>
    <t>FY83</t>
  </si>
  <si>
    <t>Sheffield</t>
  </si>
  <si>
    <t>FY84</t>
  </si>
  <si>
    <t>FY85</t>
  </si>
  <si>
    <t>FY86</t>
  </si>
  <si>
    <t>FY87</t>
  </si>
  <si>
    <t>Cowper</t>
  </si>
  <si>
    <t>FY88</t>
  </si>
  <si>
    <t>FY89</t>
  </si>
  <si>
    <t>FY90</t>
  </si>
  <si>
    <t>FY91</t>
  </si>
  <si>
    <t>FY92</t>
  </si>
  <si>
    <t>FY93</t>
  </si>
  <si>
    <t>FY94</t>
  </si>
  <si>
    <t>FY95</t>
  </si>
  <si>
    <t>Knowles</t>
  </si>
  <si>
    <t>FY96</t>
  </si>
  <si>
    <t>FY97</t>
  </si>
  <si>
    <t>FY98</t>
  </si>
  <si>
    <t>FY99</t>
  </si>
  <si>
    <t>FY00</t>
  </si>
  <si>
    <t>FY01</t>
  </si>
  <si>
    <t>FY02</t>
  </si>
  <si>
    <t>FY03</t>
  </si>
  <si>
    <t>Murkowski</t>
  </si>
  <si>
    <t>FY04</t>
  </si>
  <si>
    <t>FY05</t>
  </si>
  <si>
    <t>FY06</t>
  </si>
  <si>
    <t>FY07</t>
  </si>
  <si>
    <t>Palin</t>
  </si>
  <si>
    <t>FY08</t>
  </si>
  <si>
    <t>FY09</t>
  </si>
  <si>
    <t>FY10</t>
  </si>
  <si>
    <t>Parnell</t>
  </si>
  <si>
    <t>FY11</t>
  </si>
  <si>
    <t>FY12</t>
  </si>
  <si>
    <t>FY13</t>
  </si>
  <si>
    <t>FY14</t>
  </si>
  <si>
    <t>FY15</t>
  </si>
  <si>
    <t>FY16</t>
  </si>
  <si>
    <t>Walker</t>
  </si>
  <si>
    <t>FY17</t>
  </si>
  <si>
    <t>FY18</t>
  </si>
  <si>
    <t>FY19</t>
  </si>
  <si>
    <t>FY20</t>
  </si>
  <si>
    <t>Dunleavy</t>
  </si>
  <si>
    <t>FY21</t>
  </si>
  <si>
    <t>FY22</t>
  </si>
  <si>
    <t>FY23</t>
  </si>
  <si>
    <t>FY24</t>
  </si>
  <si>
    <t xml:space="preserve"> </t>
  </si>
  <si>
    <t>FY25</t>
  </si>
  <si>
    <t>FY26</t>
  </si>
  <si>
    <t>FY27</t>
  </si>
  <si>
    <t>FY28</t>
  </si>
  <si>
    <t>FY29</t>
  </si>
  <si>
    <t>DOR Spring 2020 Revenue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</si>
</sst>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0.0%"/>
    <numFmt numFmtId="168" formatCode="_(* #,##0.0_);_(* \(#,##0.0\);_(* &quot;-&quot;?_);_(@_)"/>
    <numFmt numFmtId="169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0" fontId="4" fillId="0" borderId="2" xfId="2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164" fontId="4" fillId="2" borderId="3" xfId="1" applyNumberFormat="1" applyFont="1" applyFill="1" applyBorder="1" applyAlignment="1">
      <alignment horizontal="center" wrapText="1"/>
    </xf>
    <xf numFmtId="164" fontId="4" fillId="0" borderId="3" xfId="1" applyNumberFormat="1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3" borderId="3" xfId="0" applyFill="1" applyBorder="1"/>
    <xf numFmtId="0" fontId="0" fillId="3" borderId="4" xfId="0" applyFill="1" applyBorder="1"/>
    <xf numFmtId="0" fontId="4" fillId="3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65" fontId="1" fillId="0" borderId="0" xfId="1" applyNumberFormat="1" applyFont="1" applyFill="1" applyBorder="1" applyAlignment="1">
      <alignment vertical="top" wrapText="1"/>
    </xf>
    <xf numFmtId="0" fontId="0" fillId="0" borderId="0" xfId="0" applyAlignment="1">
      <alignment horizontal="center"/>
    </xf>
    <xf numFmtId="10" fontId="0" fillId="0" borderId="0" xfId="2" applyNumberFormat="1" applyFont="1" applyFill="1" applyBorder="1"/>
    <xf numFmtId="43" fontId="0" fillId="0" borderId="0" xfId="1" applyFont="1" applyFill="1" applyBorder="1"/>
    <xf numFmtId="166" fontId="0" fillId="0" borderId="0" xfId="0" applyNumberFormat="1"/>
    <xf numFmtId="164" fontId="0" fillId="0" borderId="0" xfId="1" applyNumberFormat="1" applyFont="1" applyFill="1" applyBorder="1"/>
    <xf numFmtId="164" fontId="3" fillId="0" borderId="0" xfId="1" applyNumberFormat="1" applyFont="1" applyFill="1" applyBorder="1"/>
    <xf numFmtId="164" fontId="3" fillId="2" borderId="0" xfId="1" applyNumberFormat="1" applyFont="1" applyFill="1" applyBorder="1"/>
    <xf numFmtId="9" fontId="0" fillId="0" borderId="0" xfId="2" applyFont="1" applyBorder="1"/>
    <xf numFmtId="164" fontId="0" fillId="3" borderId="0" xfId="1" applyNumberFormat="1" applyFont="1" applyFill="1" applyBorder="1"/>
    <xf numFmtId="0" fontId="0" fillId="3" borderId="0" xfId="0" applyFill="1"/>
    <xf numFmtId="164" fontId="6" fillId="4" borderId="0" xfId="0" applyNumberFormat="1" applyFont="1" applyFill="1"/>
    <xf numFmtId="164" fontId="6" fillId="5" borderId="0" xfId="1" applyNumberFormat="1" applyFont="1" applyFill="1" applyBorder="1"/>
    <xf numFmtId="164" fontId="3" fillId="4" borderId="0" xfId="1" applyNumberFormat="1" applyFont="1" applyFill="1" applyBorder="1"/>
    <xf numFmtId="164" fontId="6" fillId="4" borderId="0" xfId="1" applyNumberFormat="1" applyFont="1" applyFill="1" applyBorder="1"/>
    <xf numFmtId="164" fontId="3" fillId="3" borderId="0" xfId="1" applyNumberFormat="1" applyFont="1" applyFill="1" applyBorder="1"/>
    <xf numFmtId="164" fontId="6" fillId="6" borderId="0" xfId="1" applyNumberFormat="1" applyFont="1" applyFill="1" applyBorder="1"/>
    <xf numFmtId="164" fontId="0" fillId="0" borderId="0" xfId="1" applyNumberFormat="1" applyFont="1" applyBorder="1"/>
    <xf numFmtId="164" fontId="0" fillId="0" borderId="0" xfId="0" applyNumberFormat="1"/>
    <xf numFmtId="164" fontId="1" fillId="0" borderId="0" xfId="3" applyNumberFormat="1" applyFont="1"/>
    <xf numFmtId="164" fontId="1" fillId="0" borderId="0" xfId="3" applyNumberFormat="1" applyFont="1" applyFill="1"/>
    <xf numFmtId="164" fontId="1" fillId="0" borderId="0" xfId="4" applyNumberFormat="1" applyFont="1" applyFill="1" applyBorder="1" applyAlignment="1">
      <alignment horizontal="center" vertical="top" wrapText="1"/>
    </xf>
    <xf numFmtId="43" fontId="1" fillId="7" borderId="0" xfId="4" applyFont="1" applyFill="1" applyBorder="1" applyAlignment="1">
      <alignment horizontal="center" vertical="top" wrapText="1"/>
    </xf>
    <xf numFmtId="165" fontId="0" fillId="3" borderId="0" xfId="0" applyNumberFormat="1" applyFill="1"/>
    <xf numFmtId="164" fontId="0" fillId="5" borderId="0" xfId="1" applyNumberFormat="1" applyFont="1" applyFill="1" applyBorder="1"/>
    <xf numFmtId="164" fontId="0" fillId="6" borderId="0" xfId="1" applyNumberFormat="1" applyFont="1" applyFill="1" applyBorder="1"/>
    <xf numFmtId="164" fontId="6" fillId="4" borderId="0" xfId="0" quotePrefix="1" applyNumberFormat="1" applyFont="1" applyFill="1"/>
    <xf numFmtId="49" fontId="3" fillId="0" borderId="0" xfId="0" applyNumberFormat="1" applyFont="1" applyAlignment="1">
      <alignment horizontal="center"/>
    </xf>
    <xf numFmtId="164" fontId="1" fillId="5" borderId="0" xfId="3" applyNumberFormat="1" applyFont="1" applyFill="1"/>
    <xf numFmtId="164" fontId="1" fillId="3" borderId="0" xfId="3" applyNumberFormat="1" applyFont="1" applyFill="1"/>
    <xf numFmtId="164" fontId="0" fillId="3" borderId="0" xfId="0" applyNumberFormat="1" applyFill="1"/>
    <xf numFmtId="16" fontId="0" fillId="3" borderId="0" xfId="0" applyNumberFormat="1" applyFill="1"/>
    <xf numFmtId="164" fontId="0" fillId="0" borderId="0" xfId="1" applyNumberFormat="1" applyFont="1" applyFill="1"/>
    <xf numFmtId="9" fontId="0" fillId="0" borderId="0" xfId="2" applyFont="1" applyFill="1"/>
    <xf numFmtId="164" fontId="0" fillId="3" borderId="0" xfId="1" applyNumberFormat="1" applyFont="1" applyFill="1"/>
    <xf numFmtId="166" fontId="0" fillId="8" borderId="0" xfId="0" applyNumberFormat="1" applyFill="1"/>
    <xf numFmtId="3" fontId="6" fillId="0" borderId="0" xfId="0" applyNumberFormat="1" applyFont="1"/>
    <xf numFmtId="166" fontId="0" fillId="9" borderId="0" xfId="0" applyNumberFormat="1" applyFill="1"/>
    <xf numFmtId="9" fontId="0" fillId="0" borderId="0" xfId="2" applyFont="1" applyFill="1" applyBorder="1"/>
    <xf numFmtId="164" fontId="3" fillId="6" borderId="0" xfId="1" applyNumberFormat="1" applyFont="1" applyFill="1" applyBorder="1"/>
    <xf numFmtId="167" fontId="6" fillId="3" borderId="0" xfId="2" applyNumberFormat="1" applyFont="1" applyFill="1" applyBorder="1"/>
    <xf numFmtId="0" fontId="0" fillId="9" borderId="0" xfId="0" applyFill="1"/>
    <xf numFmtId="164" fontId="0" fillId="6" borderId="0" xfId="1" applyNumberFormat="1" applyFont="1" applyFill="1"/>
    <xf numFmtId="0" fontId="6" fillId="3" borderId="0" xfId="0" applyFont="1" applyFill="1"/>
    <xf numFmtId="43" fontId="0" fillId="0" borderId="0" xfId="1" applyFont="1" applyFill="1"/>
    <xf numFmtId="167" fontId="6" fillId="3" borderId="0" xfId="2" applyNumberFormat="1" applyFont="1" applyFill="1"/>
    <xf numFmtId="3" fontId="6" fillId="0" borderId="0" xfId="0" applyNumberFormat="1" applyFont="1" applyAlignment="1">
      <alignment horizontal="right"/>
    </xf>
    <xf numFmtId="164" fontId="2" fillId="0" borderId="0" xfId="1" applyNumberFormat="1" applyFont="1" applyFill="1"/>
    <xf numFmtId="164" fontId="3" fillId="5" borderId="0" xfId="1" applyNumberFormat="1" applyFont="1" applyFill="1" applyBorder="1"/>
    <xf numFmtId="3" fontId="6" fillId="10" borderId="0" xfId="0" applyNumberFormat="1" applyFont="1" applyFill="1" applyAlignment="1">
      <alignment horizontal="right"/>
    </xf>
    <xf numFmtId="164" fontId="1" fillId="11" borderId="0" xfId="4" applyNumberFormat="1" applyFont="1" applyFill="1" applyBorder="1" applyAlignment="1">
      <alignment horizontal="center" vertical="top" wrapText="1"/>
    </xf>
    <xf numFmtId="10" fontId="0" fillId="11" borderId="0" xfId="2" applyNumberFormat="1" applyFont="1" applyFill="1" applyBorder="1"/>
    <xf numFmtId="164" fontId="0" fillId="0" borderId="0" xfId="1" applyNumberFormat="1" applyFont="1"/>
    <xf numFmtId="10" fontId="0" fillId="0" borderId="0" xfId="2" applyNumberFormat="1" applyFont="1"/>
    <xf numFmtId="168" fontId="6" fillId="0" borderId="0" xfId="0" applyNumberFormat="1" applyFont="1"/>
    <xf numFmtId="164" fontId="6" fillId="0" borderId="0" xfId="1" applyNumberFormat="1" applyFont="1" applyFill="1" applyBorder="1"/>
    <xf numFmtId="165" fontId="0" fillId="0" borderId="0" xfId="0" applyNumberFormat="1"/>
    <xf numFmtId="9" fontId="3" fillId="0" borderId="0" xfId="2" applyFont="1" applyFill="1" applyBorder="1"/>
    <xf numFmtId="0" fontId="1" fillId="0" borderId="0" xfId="5"/>
    <xf numFmtId="43" fontId="0" fillId="0" borderId="0" xfId="0" applyNumberFormat="1"/>
    <xf numFmtId="0" fontId="1" fillId="3" borderId="0" xfId="5" applyFill="1"/>
    <xf numFmtId="165" fontId="0" fillId="0" borderId="0" xfId="1" applyNumberFormat="1" applyFont="1" applyFill="1" applyBorder="1"/>
    <xf numFmtId="164" fontId="3" fillId="2" borderId="0" xfId="1" applyNumberFormat="1" applyFont="1" applyFill="1"/>
    <xf numFmtId="43" fontId="6" fillId="0" borderId="0" xfId="0" applyNumberFormat="1" applyFont="1"/>
    <xf numFmtId="164" fontId="3" fillId="0" borderId="0" xfId="0" applyNumberFormat="1" applyFont="1"/>
    <xf numFmtId="0" fontId="6" fillId="0" borderId="0" xfId="0" applyFont="1"/>
    <xf numFmtId="169" fontId="6" fillId="0" borderId="0" xfId="0" applyNumberFormat="1" applyFont="1"/>
    <xf numFmtId="0" fontId="3" fillId="0" borderId="0" xfId="0" applyFont="1"/>
    <xf numFmtId="10" fontId="0" fillId="11" borderId="0" xfId="2" applyNumberFormat="1" applyFont="1" applyFill="1"/>
    <xf numFmtId="167" fontId="6" fillId="0" borderId="0" xfId="2" applyNumberFormat="1" applyFont="1"/>
    <xf numFmtId="0" fontId="2" fillId="0" borderId="0" xfId="0" applyFont="1" applyAlignment="1">
      <alignment horizontal="center"/>
    </xf>
    <xf numFmtId="0" fontId="0" fillId="2" borderId="0" xfId="0" applyFill="1"/>
  </cellXfs>
  <cellStyles count="6">
    <cellStyle name="Comma" xfId="1" builtinId="3"/>
    <cellStyle name="Comma 12" xfId="3" xr:uid="{62BAA494-05B4-442E-89D6-6B417183D82B}"/>
    <cellStyle name="Comma 2 5" xfId="4" xr:uid="{C45B671C-489E-46CC-B12B-BAE38F3351FB}"/>
    <cellStyle name="Normal" xfId="0" builtinId="0"/>
    <cellStyle name="Normal 16" xfId="5" xr:uid="{CED0B9C0-32C4-4C2E-AFC7-AAF36253C14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233EE-B496-4907-8ECB-105FF31CB27F}">
  <dimension ref="A1:CS73"/>
  <sheetViews>
    <sheetView tabSelected="1" topLeftCell="A34" zoomScaleNormal="100" workbookViewId="0">
      <pane xSplit="1" topLeftCell="B1" activePane="topRight" state="frozen"/>
      <selection activeCell="A57" sqref="A57"/>
      <selection pane="topRight" activeCell="AC71" sqref="AC71"/>
    </sheetView>
  </sheetViews>
  <sheetFormatPr defaultRowHeight="15" x14ac:dyDescent="0.25"/>
  <cols>
    <col min="2" max="2" width="10.140625" customWidth="1"/>
    <col min="3" max="8" width="8.7109375" customWidth="1"/>
    <col min="9" max="9" width="10.28515625" customWidth="1"/>
    <col min="10" max="10" width="8.85546875" customWidth="1"/>
    <col min="11" max="14" width="8.7109375" customWidth="1"/>
    <col min="15" max="15" width="11.5703125" customWidth="1"/>
    <col min="16" max="17" width="10.5703125" customWidth="1"/>
    <col min="18" max="18" width="8.7109375" customWidth="1"/>
    <col min="19" max="19" width="11.42578125" customWidth="1"/>
    <col min="20" max="20" width="9.140625" style="86" bestFit="1" customWidth="1"/>
    <col min="21" max="21" width="10.5703125" customWidth="1"/>
    <col min="22" max="23" width="9.85546875" customWidth="1"/>
    <col min="24" max="24" width="8.7109375" customWidth="1"/>
    <col min="25" max="25" width="1.28515625" style="25" customWidth="1"/>
    <col min="30" max="30" width="9.140625" customWidth="1"/>
    <col min="32" max="32" width="9.140625" customWidth="1"/>
    <col min="33" max="33" width="10.28515625" bestFit="1" customWidth="1"/>
    <col min="36" max="36" width="1" style="25" customWidth="1"/>
    <col min="41" max="41" width="9.140625" bestFit="1" customWidth="1"/>
    <col min="44" max="44" width="1.140625" style="25" customWidth="1"/>
    <col min="45" max="47" width="8.85546875" bestFit="1" customWidth="1"/>
    <col min="48" max="48" width="8.85546875" customWidth="1"/>
    <col min="49" max="50" width="9.140625" bestFit="1" customWidth="1"/>
    <col min="51" max="52" width="9.140625" customWidth="1"/>
    <col min="53" max="53" width="1.140625" style="25" customWidth="1"/>
    <col min="54" max="54" width="9.5703125" bestFit="1" customWidth="1"/>
    <col min="57" max="57" width="9.5703125" bestFit="1" customWidth="1"/>
    <col min="58" max="58" width="9.5703125" customWidth="1"/>
    <col min="59" max="59" width="9.5703125" bestFit="1" customWidth="1"/>
    <col min="64" max="64" width="1.42578125" style="25" customWidth="1"/>
    <col min="68" max="68" width="9.140625" bestFit="1" customWidth="1"/>
    <col min="69" max="71" width="9.140625" customWidth="1"/>
    <col min="72" max="72" width="1.42578125" style="25" customWidth="1"/>
    <col min="76" max="76" width="9.140625" bestFit="1" customWidth="1"/>
    <col min="77" max="77" width="9.5703125" bestFit="1" customWidth="1"/>
    <col min="78" max="78" width="1.28515625" style="25" customWidth="1"/>
    <col min="82" max="82" width="9.140625" bestFit="1" customWidth="1"/>
    <col min="83" max="83" width="9.5703125" bestFit="1" customWidth="1"/>
    <col min="84" max="84" width="1.42578125" style="25" customWidth="1"/>
    <col min="85" max="85" width="9.5703125" bestFit="1" customWidth="1"/>
    <col min="88" max="88" width="9.140625" bestFit="1" customWidth="1"/>
    <col min="89" max="90" width="9.5703125" bestFit="1" customWidth="1"/>
    <col min="92" max="92" width="1.42578125" style="25" customWidth="1"/>
    <col min="93" max="94" width="9.5703125" bestFit="1" customWidth="1"/>
    <col min="95" max="95" width="9.140625" bestFit="1" customWidth="1"/>
    <col min="97" max="97" width="9.140625" bestFit="1" customWidth="1"/>
  </cols>
  <sheetData>
    <row r="1" spans="1:97" ht="68.2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6" t="s">
        <v>19</v>
      </c>
      <c r="U1" s="6" t="s">
        <v>20</v>
      </c>
      <c r="V1" s="7" t="s">
        <v>21</v>
      </c>
      <c r="W1" s="7" t="s">
        <v>22</v>
      </c>
      <c r="X1" s="7" t="s">
        <v>23</v>
      </c>
      <c r="Y1" s="8"/>
      <c r="Z1" s="9" t="s">
        <v>24</v>
      </c>
      <c r="AA1" s="9" t="s">
        <v>25</v>
      </c>
      <c r="AB1" s="9" t="s">
        <v>26</v>
      </c>
      <c r="AC1" s="9" t="s">
        <v>27</v>
      </c>
      <c r="AD1" s="10" t="s">
        <v>28</v>
      </c>
      <c r="AE1" s="9" t="s">
        <v>29</v>
      </c>
      <c r="AF1" s="9" t="s">
        <v>30</v>
      </c>
      <c r="AG1" s="7" t="s">
        <v>31</v>
      </c>
      <c r="AH1" s="9" t="s">
        <v>32</v>
      </c>
      <c r="AI1" s="9" t="s">
        <v>33</v>
      </c>
      <c r="AJ1" s="11"/>
      <c r="AK1" s="10" t="s">
        <v>34</v>
      </c>
      <c r="AL1" s="9" t="s">
        <v>35</v>
      </c>
      <c r="AM1" s="9" t="s">
        <v>36</v>
      </c>
      <c r="AN1" s="9" t="s">
        <v>37</v>
      </c>
      <c r="AO1" s="9" t="s">
        <v>38</v>
      </c>
      <c r="AP1" s="9" t="s">
        <v>39</v>
      </c>
      <c r="AQ1" s="10" t="s">
        <v>40</v>
      </c>
      <c r="AR1" s="12"/>
      <c r="AS1" s="10" t="s">
        <v>41</v>
      </c>
      <c r="AT1" s="9" t="s">
        <v>42</v>
      </c>
      <c r="AU1" s="9" t="s">
        <v>43</v>
      </c>
      <c r="AV1" s="9" t="s">
        <v>44</v>
      </c>
      <c r="AW1" s="9" t="s">
        <v>45</v>
      </c>
      <c r="AX1" s="9" t="s">
        <v>46</v>
      </c>
      <c r="AY1" s="10" t="s">
        <v>47</v>
      </c>
      <c r="AZ1" s="10" t="s">
        <v>48</v>
      </c>
      <c r="BA1" s="13"/>
      <c r="BB1" s="10" t="s">
        <v>49</v>
      </c>
      <c r="BC1" s="9" t="s">
        <v>50</v>
      </c>
      <c r="BD1" s="9" t="s">
        <v>51</v>
      </c>
      <c r="BE1" s="9" t="s">
        <v>52</v>
      </c>
      <c r="BF1" s="9" t="s">
        <v>53</v>
      </c>
      <c r="BG1" s="9" t="s">
        <v>54</v>
      </c>
      <c r="BH1" s="9" t="s">
        <v>55</v>
      </c>
      <c r="BI1" s="9" t="s">
        <v>56</v>
      </c>
      <c r="BJ1" s="9" t="s">
        <v>57</v>
      </c>
      <c r="BK1" s="9" t="s">
        <v>58</v>
      </c>
      <c r="BL1" s="11"/>
      <c r="BM1" s="10" t="s">
        <v>59</v>
      </c>
      <c r="BN1" s="9" t="s">
        <v>60</v>
      </c>
      <c r="BO1" s="9" t="s">
        <v>61</v>
      </c>
      <c r="BP1" s="10" t="s">
        <v>62</v>
      </c>
      <c r="BQ1" s="10" t="s">
        <v>63</v>
      </c>
      <c r="BR1" s="10" t="s">
        <v>64</v>
      </c>
      <c r="BS1" s="10" t="s">
        <v>65</v>
      </c>
      <c r="BT1" s="11"/>
      <c r="BU1" s="10" t="s">
        <v>66</v>
      </c>
      <c r="BV1" s="9" t="s">
        <v>67</v>
      </c>
      <c r="BW1" s="9" t="s">
        <v>68</v>
      </c>
      <c r="BX1" s="10" t="s">
        <v>69</v>
      </c>
      <c r="BY1" s="10" t="s">
        <v>70</v>
      </c>
      <c r="BZ1" s="11"/>
      <c r="CA1" s="10" t="s">
        <v>71</v>
      </c>
      <c r="CB1" s="9" t="s">
        <v>72</v>
      </c>
      <c r="CC1" s="9" t="s">
        <v>73</v>
      </c>
      <c r="CD1" s="10" t="s">
        <v>74</v>
      </c>
      <c r="CE1" s="10" t="s">
        <v>75</v>
      </c>
      <c r="CF1" s="11"/>
      <c r="CG1" s="10" t="s">
        <v>76</v>
      </c>
      <c r="CH1" s="9" t="s">
        <v>77</v>
      </c>
      <c r="CI1" s="9" t="s">
        <v>78</v>
      </c>
      <c r="CJ1" s="10" t="s">
        <v>74</v>
      </c>
      <c r="CK1" s="10" t="s">
        <v>79</v>
      </c>
      <c r="CL1" s="10" t="s">
        <v>80</v>
      </c>
      <c r="CM1" s="10" t="s">
        <v>81</v>
      </c>
      <c r="CN1" s="11"/>
      <c r="CO1" s="10" t="s">
        <v>82</v>
      </c>
      <c r="CP1" s="10" t="s">
        <v>83</v>
      </c>
      <c r="CQ1" s="10" t="s">
        <v>84</v>
      </c>
      <c r="CR1" s="10" t="s">
        <v>85</v>
      </c>
      <c r="CS1" s="10" t="s">
        <v>86</v>
      </c>
    </row>
    <row r="2" spans="1:97" x14ac:dyDescent="0.25">
      <c r="A2" s="14" t="s">
        <v>87</v>
      </c>
      <c r="B2" t="s">
        <v>88</v>
      </c>
      <c r="C2" s="15">
        <v>224000</v>
      </c>
      <c r="D2" s="16"/>
      <c r="E2" s="17"/>
      <c r="G2" s="18"/>
      <c r="H2" s="19"/>
      <c r="I2" s="19"/>
      <c r="J2" s="20"/>
      <c r="K2" s="19"/>
      <c r="L2" s="19"/>
      <c r="M2" s="19">
        <v>3.1</v>
      </c>
      <c r="N2" s="19"/>
      <c r="O2" s="19"/>
      <c r="P2" s="21">
        <f t="shared" ref="P2:P50" si="0">SUM(H2:O2)</f>
        <v>3.1</v>
      </c>
      <c r="Q2" s="20">
        <f>P2</f>
        <v>3.1</v>
      </c>
      <c r="R2" s="18">
        <v>22.3</v>
      </c>
      <c r="S2" s="18"/>
      <c r="T2" s="22">
        <f>+P2+R2</f>
        <v>25.400000000000002</v>
      </c>
      <c r="U2" s="23">
        <f t="shared" ref="U2:U65" si="1">P2/T2</f>
        <v>0.12204724409448818</v>
      </c>
      <c r="V2" s="24"/>
      <c r="W2" s="24"/>
      <c r="X2" s="24"/>
      <c r="Z2" s="26">
        <v>2.2256999999999998</v>
      </c>
      <c r="AA2" s="27">
        <v>0</v>
      </c>
      <c r="AB2" s="28">
        <f>+Z2+AA2</f>
        <v>2.2256999999999998</v>
      </c>
      <c r="AC2" s="29">
        <f>0.02+0.6</f>
        <v>0.62</v>
      </c>
      <c r="AD2" s="24"/>
      <c r="AE2" s="28">
        <f t="shared" ref="AE2:AE62" si="2">+AB2+AC2</f>
        <v>2.8456999999999999</v>
      </c>
      <c r="AF2" s="30"/>
      <c r="AG2" s="27">
        <v>0</v>
      </c>
      <c r="AH2" s="31">
        <f>T2-AE2-AF2-AG2</f>
        <v>22.554300000000001</v>
      </c>
      <c r="AI2" s="28">
        <f>T2-AE2</f>
        <v>22.554300000000001</v>
      </c>
      <c r="AK2" s="32">
        <f t="shared" ref="AK2:AK64" si="3">+Z2*F2</f>
        <v>0</v>
      </c>
      <c r="AL2" s="32">
        <f t="shared" ref="AL2:AL64" si="4">+AA2*F2</f>
        <v>0</v>
      </c>
      <c r="AM2" s="32">
        <f t="shared" ref="AM2:AM64" si="5">+AC2*F2</f>
        <v>0</v>
      </c>
      <c r="AN2" s="32">
        <f>AD2*F2</f>
        <v>0</v>
      </c>
      <c r="AO2" s="32">
        <f t="shared" ref="AO2:AO64" si="6">+T2*F2</f>
        <v>0</v>
      </c>
      <c r="AP2" s="33">
        <f t="shared" ref="AP2:AP63" si="7">+V2*F2</f>
        <v>0</v>
      </c>
      <c r="AQ2" s="33">
        <f>W2*F2</f>
        <v>0</v>
      </c>
      <c r="AS2" s="33">
        <f t="shared" ref="AS2:AS64" si="8">+Z2/(C2/1000000)</f>
        <v>9.9361607142857125</v>
      </c>
      <c r="AT2" s="33">
        <f t="shared" ref="AT2:AT64" si="9">+AA2/(C2/1000000)</f>
        <v>0</v>
      </c>
      <c r="AU2" s="33">
        <f t="shared" ref="AU2:AU64" si="10">+AC2/(C2/1000000)</f>
        <v>2.7678571428571428</v>
      </c>
      <c r="AV2" s="33">
        <f>AD2/C2*1000000</f>
        <v>0</v>
      </c>
      <c r="AW2" s="33">
        <f t="shared" ref="AW2:AW64" si="11">AS2+AT2+AU2</f>
        <v>12.704017857142855</v>
      </c>
      <c r="AX2" s="33">
        <f t="shared" ref="AX2:AX64" si="12">+T2/(C2/1000000)</f>
        <v>113.39285714285715</v>
      </c>
      <c r="AY2" s="33">
        <f>+V2/(C2/1000000)</f>
        <v>0</v>
      </c>
      <c r="AZ2" s="33">
        <f>+W2/(C2/1000000)</f>
        <v>0</v>
      </c>
      <c r="BB2" s="32">
        <f t="shared" ref="BB2:BB64" si="13">+AK2/(C2/1000000)</f>
        <v>0</v>
      </c>
      <c r="BC2" s="32">
        <f t="shared" ref="BC2:BC64" si="14">+AL2/(C2/1000000)</f>
        <v>0</v>
      </c>
      <c r="BD2" s="32">
        <f t="shared" ref="BD2:BD64" si="15">+AM2/(C2/1000000)</f>
        <v>0</v>
      </c>
      <c r="BE2" s="32">
        <f t="shared" ref="BE2:BE64" si="16">+AO2/(C2/1000000)</f>
        <v>0</v>
      </c>
      <c r="BF2" s="32">
        <f>AN2/(C2/1000000)</f>
        <v>0</v>
      </c>
      <c r="BG2" s="32">
        <f>+BB2+BC2+BD2+BF2</f>
        <v>0</v>
      </c>
      <c r="BH2" s="32">
        <f t="shared" ref="BH2:BH64" si="17">+AP2/(C2/1000000)</f>
        <v>0</v>
      </c>
      <c r="BI2" s="32">
        <f>+AQ2/(C2/1000000)</f>
        <v>0</v>
      </c>
      <c r="BJ2" s="32"/>
      <c r="BK2" s="32"/>
      <c r="BM2" s="32">
        <v>0</v>
      </c>
      <c r="BN2" s="32">
        <v>0</v>
      </c>
      <c r="BO2" s="32">
        <v>0</v>
      </c>
      <c r="BP2" s="34">
        <f t="shared" ref="BP2:BP64" si="18">+BM2+BN2+BO2+T2</f>
        <v>25.400000000000002</v>
      </c>
      <c r="BQ2" s="34"/>
      <c r="BR2" s="34"/>
      <c r="BS2" s="34"/>
      <c r="BU2" s="34">
        <f t="shared" ref="BU2:BU64" si="19">+BM2*F2</f>
        <v>0</v>
      </c>
      <c r="BV2" s="34">
        <f t="shared" ref="BV2:BV64" si="20">+BN2*F2</f>
        <v>0</v>
      </c>
      <c r="BW2" s="35">
        <f t="shared" ref="BW2:BW64" si="21">+BO2*F2</f>
        <v>0</v>
      </c>
      <c r="BX2" s="34">
        <f>AD2*F2</f>
        <v>0</v>
      </c>
      <c r="BY2" s="34">
        <f t="shared" ref="BY2:BY64" si="22">+BP2*F2</f>
        <v>0</v>
      </c>
      <c r="CA2" s="34">
        <f t="shared" ref="CA2:CA64" si="23">+BU2/(C2/1000000)</f>
        <v>0</v>
      </c>
      <c r="CB2" s="35">
        <f t="shared" ref="CB2:CB64" si="24">+BV2/(C2/1000000)</f>
        <v>0</v>
      </c>
      <c r="CC2" s="34">
        <f t="shared" ref="CC2:CC64" si="25">+BW2/(C2/1000000)</f>
        <v>0</v>
      </c>
      <c r="CD2" s="34">
        <f t="shared" ref="CD2:CD64" si="26">+BX2/(C2/1000000)</f>
        <v>0</v>
      </c>
      <c r="CE2" s="34">
        <f t="shared" ref="CE2:CE64" si="27">+BY2/(C2/1000000)</f>
        <v>0</v>
      </c>
      <c r="CG2" s="34">
        <f t="shared" ref="CG2:CI33" si="28">+CA2+BB2</f>
        <v>0</v>
      </c>
      <c r="CH2" s="34">
        <f t="shared" si="28"/>
        <v>0</v>
      </c>
      <c r="CI2" s="34">
        <f t="shared" si="28"/>
        <v>0</v>
      </c>
      <c r="CJ2" s="34">
        <f t="shared" ref="CJ2:CJ64" si="29">+CD2</f>
        <v>0</v>
      </c>
      <c r="CK2" s="34">
        <f t="shared" ref="CK2:CK64" si="30">+CE2+CJ2</f>
        <v>0</v>
      </c>
      <c r="CL2" s="34">
        <f t="shared" ref="CL2:CL42" si="31">+CG2+CH2+CI2</f>
        <v>0</v>
      </c>
      <c r="CM2" s="34">
        <f t="shared" ref="CM2:CM64" si="32">+CL2-BG2</f>
        <v>0</v>
      </c>
      <c r="CO2" s="34" t="e">
        <f t="shared" ref="CO2:CO64" si="33">CE2/F2</f>
        <v>#DIV/0!</v>
      </c>
      <c r="CP2" s="34" t="e">
        <f t="shared" ref="CP2:CP64" si="34">CK2/F2</f>
        <v>#DIV/0!</v>
      </c>
      <c r="CQ2" s="34">
        <f t="shared" ref="CQ2:CQ64" si="35">AD2/(C2/1000000)</f>
        <v>0</v>
      </c>
      <c r="CR2" s="34" t="e">
        <f t="shared" ref="CR2:CR64" si="36">CM2/F2</f>
        <v>#DIV/0!</v>
      </c>
      <c r="CS2" s="34" t="e">
        <f t="shared" ref="CS2:CS64" si="37">BG2/F2</f>
        <v>#DIV/0!</v>
      </c>
    </row>
    <row r="3" spans="1:97" x14ac:dyDescent="0.25">
      <c r="A3" s="14" t="s">
        <v>89</v>
      </c>
      <c r="B3" t="s">
        <v>88</v>
      </c>
      <c r="C3" s="15">
        <v>230400</v>
      </c>
      <c r="D3" s="16"/>
      <c r="E3" s="17"/>
      <c r="G3" s="18"/>
      <c r="H3" s="19"/>
      <c r="I3" s="19"/>
      <c r="J3" s="20"/>
      <c r="K3" s="19"/>
      <c r="L3" s="19"/>
      <c r="M3" s="19">
        <v>5.8</v>
      </c>
      <c r="N3" s="19">
        <v>4.0999999999999996</v>
      </c>
      <c r="O3" s="19"/>
      <c r="P3" s="21">
        <f t="shared" si="0"/>
        <v>9.8999999999999986</v>
      </c>
      <c r="Q3" s="20">
        <f>$Q2+P3</f>
        <v>12.999999999999998</v>
      </c>
      <c r="R3" s="18">
        <v>38.1</v>
      </c>
      <c r="S3" s="18"/>
      <c r="T3" s="22">
        <f t="shared" ref="T3:T50" si="38">+P3+R3</f>
        <v>48</v>
      </c>
      <c r="U3" s="23">
        <f t="shared" si="1"/>
        <v>0.20624999999999996</v>
      </c>
      <c r="V3" s="24"/>
      <c r="W3" s="24"/>
      <c r="X3" s="24"/>
      <c r="Z3" s="26">
        <v>28.2881</v>
      </c>
      <c r="AA3" s="27">
        <v>0</v>
      </c>
      <c r="AB3" s="28">
        <f t="shared" ref="AB3:AB62" si="39">+Z3+AA3</f>
        <v>28.2881</v>
      </c>
      <c r="AC3" s="29">
        <v>1.08</v>
      </c>
      <c r="AD3" s="24"/>
      <c r="AE3" s="28">
        <f t="shared" si="2"/>
        <v>29.368099999999998</v>
      </c>
      <c r="AF3" s="30"/>
      <c r="AG3" s="27">
        <v>0</v>
      </c>
      <c r="AH3" s="31">
        <f t="shared" ref="AH3:AH58" si="40">T3-AE3-AF3-AG3</f>
        <v>18.631900000000002</v>
      </c>
      <c r="AI3" s="28">
        <f t="shared" ref="AI3:AI56" si="41">T3-AE3</f>
        <v>18.631900000000002</v>
      </c>
      <c r="AK3" s="32">
        <f t="shared" si="3"/>
        <v>0</v>
      </c>
      <c r="AL3" s="32">
        <f t="shared" si="4"/>
        <v>0</v>
      </c>
      <c r="AM3" s="32">
        <f t="shared" si="5"/>
        <v>0</v>
      </c>
      <c r="AN3" s="32">
        <f t="shared" ref="AN3:AN64" si="42">AD3*F3</f>
        <v>0</v>
      </c>
      <c r="AO3" s="32">
        <f t="shared" si="6"/>
        <v>0</v>
      </c>
      <c r="AP3" s="33">
        <f t="shared" si="7"/>
        <v>0</v>
      </c>
      <c r="AQ3" s="33">
        <f t="shared" ref="AQ3:AQ64" si="43">W3*F3</f>
        <v>0</v>
      </c>
      <c r="AS3" s="33">
        <f t="shared" si="8"/>
        <v>122.77821180555556</v>
      </c>
      <c r="AT3" s="33">
        <f t="shared" si="9"/>
        <v>0</v>
      </c>
      <c r="AU3" s="33">
        <f t="shared" si="10"/>
        <v>4.6875</v>
      </c>
      <c r="AV3" s="33">
        <f t="shared" ref="AV3:AV64" si="44">AD3/C3*1000000</f>
        <v>0</v>
      </c>
      <c r="AW3" s="33">
        <f t="shared" si="11"/>
        <v>127.46571180555556</v>
      </c>
      <c r="AX3" s="33">
        <f t="shared" si="12"/>
        <v>208.33333333333334</v>
      </c>
      <c r="AY3" s="33">
        <f t="shared" ref="AY3:AY64" si="45">+V3/(C3/1000000)</f>
        <v>0</v>
      </c>
      <c r="AZ3" s="33">
        <f t="shared" ref="AZ3:AZ64" si="46">+W3/(C3/1000000)</f>
        <v>0</v>
      </c>
      <c r="BB3" s="32">
        <f t="shared" si="13"/>
        <v>0</v>
      </c>
      <c r="BC3" s="32">
        <f t="shared" si="14"/>
        <v>0</v>
      </c>
      <c r="BD3" s="32">
        <f t="shared" si="15"/>
        <v>0</v>
      </c>
      <c r="BE3" s="32">
        <f t="shared" si="16"/>
        <v>0</v>
      </c>
      <c r="BF3" s="32">
        <f t="shared" ref="BF3:BF64" si="47">AN3/(C3/1000000)</f>
        <v>0</v>
      </c>
      <c r="BG3" s="32">
        <f t="shared" ref="BG3:BG64" si="48">+BB3+BC3+BD3+BF3</f>
        <v>0</v>
      </c>
      <c r="BH3" s="32">
        <f t="shared" si="17"/>
        <v>0</v>
      </c>
      <c r="BI3" s="32">
        <f t="shared" ref="BI3:BI64" si="49">+AQ3/(C3/1000000)</f>
        <v>0</v>
      </c>
      <c r="BJ3" s="32"/>
      <c r="BK3" s="32"/>
      <c r="BM3" s="32">
        <v>1.0479000000000001</v>
      </c>
      <c r="BN3" s="32">
        <v>1.7743</v>
      </c>
      <c r="BO3" s="32">
        <v>5.7742000000000004</v>
      </c>
      <c r="BP3" s="34">
        <f t="shared" si="18"/>
        <v>56.596400000000003</v>
      </c>
      <c r="BQ3" s="34">
        <f>BM3+Z3</f>
        <v>29.335999999999999</v>
      </c>
      <c r="BR3" s="34">
        <f>BN3+AA3</f>
        <v>1.7743</v>
      </c>
      <c r="BS3" s="34">
        <f>BO3+AC3</f>
        <v>6.8542000000000005</v>
      </c>
      <c r="BU3" s="34">
        <f t="shared" si="19"/>
        <v>0</v>
      </c>
      <c r="BV3" s="34">
        <f t="shared" si="20"/>
        <v>0</v>
      </c>
      <c r="BW3" s="35">
        <f t="shared" si="21"/>
        <v>0</v>
      </c>
      <c r="BX3" s="34">
        <f t="shared" ref="BX3:BX64" si="50">AD3*F3</f>
        <v>0</v>
      </c>
      <c r="BY3" s="34">
        <f t="shared" si="22"/>
        <v>0</v>
      </c>
      <c r="CA3" s="34">
        <f t="shared" si="23"/>
        <v>0</v>
      </c>
      <c r="CB3" s="35">
        <f t="shared" si="24"/>
        <v>0</v>
      </c>
      <c r="CC3" s="34">
        <f t="shared" si="25"/>
        <v>0</v>
      </c>
      <c r="CD3" s="34">
        <f t="shared" si="26"/>
        <v>0</v>
      </c>
      <c r="CE3" s="34">
        <f t="shared" si="27"/>
        <v>0</v>
      </c>
      <c r="CG3" s="34">
        <f t="shared" si="28"/>
        <v>0</v>
      </c>
      <c r="CH3" s="34">
        <f t="shared" si="28"/>
        <v>0</v>
      </c>
      <c r="CI3" s="34">
        <f t="shared" si="28"/>
        <v>0</v>
      </c>
      <c r="CJ3" s="34">
        <f t="shared" si="29"/>
        <v>0</v>
      </c>
      <c r="CK3" s="34">
        <f t="shared" si="30"/>
        <v>0</v>
      </c>
      <c r="CL3" s="34">
        <f t="shared" si="31"/>
        <v>0</v>
      </c>
      <c r="CM3" s="34">
        <f t="shared" si="32"/>
        <v>0</v>
      </c>
      <c r="CO3" s="34" t="e">
        <f t="shared" si="33"/>
        <v>#DIV/0!</v>
      </c>
      <c r="CP3" s="34" t="e">
        <f t="shared" si="34"/>
        <v>#DIV/0!</v>
      </c>
      <c r="CQ3" s="34">
        <f t="shared" si="35"/>
        <v>0</v>
      </c>
      <c r="CR3" s="34" t="e">
        <f t="shared" si="36"/>
        <v>#DIV/0!</v>
      </c>
      <c r="CS3" s="34" t="e">
        <f t="shared" si="37"/>
        <v>#DIV/0!</v>
      </c>
    </row>
    <row r="4" spans="1:97" x14ac:dyDescent="0.25">
      <c r="A4" s="14" t="s">
        <v>90</v>
      </c>
      <c r="B4" t="s">
        <v>88</v>
      </c>
      <c r="C4" s="15">
        <v>236700</v>
      </c>
      <c r="D4" s="36">
        <v>34.5</v>
      </c>
      <c r="E4" s="17"/>
      <c r="F4" s="37">
        <f>+$D$62/D4</f>
        <v>6.6282898550724632</v>
      </c>
      <c r="G4" s="18"/>
      <c r="H4" s="19"/>
      <c r="I4" s="19"/>
      <c r="J4" s="20"/>
      <c r="K4" s="19"/>
      <c r="L4" s="19"/>
      <c r="M4" s="19">
        <v>2.4</v>
      </c>
      <c r="N4" s="19">
        <v>1.8</v>
      </c>
      <c r="O4" s="19"/>
      <c r="P4" s="21">
        <f t="shared" si="0"/>
        <v>4.2</v>
      </c>
      <c r="Q4" s="20">
        <f>$Q3+P4</f>
        <v>17.2</v>
      </c>
      <c r="R4" s="18">
        <v>36.299999999999997</v>
      </c>
      <c r="S4" s="18"/>
      <c r="T4" s="22">
        <f t="shared" si="38"/>
        <v>40.5</v>
      </c>
      <c r="U4" s="23">
        <f t="shared" si="1"/>
        <v>0.10370370370370371</v>
      </c>
      <c r="V4" s="24"/>
      <c r="W4" s="24"/>
      <c r="X4" s="24"/>
      <c r="Z4" s="26">
        <v>39.845100000000002</v>
      </c>
      <c r="AA4" s="27">
        <v>0</v>
      </c>
      <c r="AB4" s="28">
        <f t="shared" si="39"/>
        <v>39.845100000000002</v>
      </c>
      <c r="AC4" s="29">
        <v>1.5987</v>
      </c>
      <c r="AD4" s="24"/>
      <c r="AE4" s="28">
        <f t="shared" si="2"/>
        <v>41.443800000000003</v>
      </c>
      <c r="AF4" s="30"/>
      <c r="AG4" s="27">
        <v>0</v>
      </c>
      <c r="AH4" s="31">
        <f t="shared" si="40"/>
        <v>-0.94380000000000308</v>
      </c>
      <c r="AI4" s="28">
        <f t="shared" si="41"/>
        <v>-0.94380000000000308</v>
      </c>
      <c r="AK4" s="32">
        <f t="shared" si="3"/>
        <v>264.10487210434781</v>
      </c>
      <c r="AL4" s="32">
        <f t="shared" si="4"/>
        <v>0</v>
      </c>
      <c r="AM4" s="32">
        <f t="shared" si="5"/>
        <v>10.596646991304347</v>
      </c>
      <c r="AN4" s="32">
        <f t="shared" si="42"/>
        <v>0</v>
      </c>
      <c r="AO4" s="32">
        <f t="shared" si="6"/>
        <v>268.44573913043473</v>
      </c>
      <c r="AP4" s="33">
        <f t="shared" si="7"/>
        <v>0</v>
      </c>
      <c r="AQ4" s="33">
        <f t="shared" si="43"/>
        <v>0</v>
      </c>
      <c r="AS4" s="33">
        <f t="shared" si="8"/>
        <v>168.33586818757922</v>
      </c>
      <c r="AT4" s="33">
        <f t="shared" si="9"/>
        <v>0</v>
      </c>
      <c r="AU4" s="33">
        <f t="shared" si="10"/>
        <v>6.7541191381495569</v>
      </c>
      <c r="AV4" s="33">
        <f t="shared" si="44"/>
        <v>0</v>
      </c>
      <c r="AW4" s="33">
        <f t="shared" si="11"/>
        <v>175.08998732572877</v>
      </c>
      <c r="AX4" s="33">
        <f t="shared" si="12"/>
        <v>171.10266159695817</v>
      </c>
      <c r="AY4" s="33">
        <f t="shared" si="45"/>
        <v>0</v>
      </c>
      <c r="AZ4" s="33">
        <f t="shared" si="46"/>
        <v>0</v>
      </c>
      <c r="BB4" s="32">
        <f t="shared" si="13"/>
        <v>1115.7789273525468</v>
      </c>
      <c r="BC4" s="32">
        <f t="shared" si="14"/>
        <v>0</v>
      </c>
      <c r="BD4" s="32">
        <f t="shared" si="15"/>
        <v>44.768259363347475</v>
      </c>
      <c r="BE4" s="32">
        <f t="shared" si="16"/>
        <v>1134.1180360390144</v>
      </c>
      <c r="BF4" s="32">
        <f t="shared" si="47"/>
        <v>0</v>
      </c>
      <c r="BG4" s="32">
        <f t="shared" si="48"/>
        <v>1160.5471867158942</v>
      </c>
      <c r="BH4" s="32">
        <f t="shared" si="17"/>
        <v>0</v>
      </c>
      <c r="BI4" s="32">
        <f t="shared" si="49"/>
        <v>0</v>
      </c>
      <c r="BJ4" s="32">
        <f>BE4-BG4+BH4+BI4</f>
        <v>-26.429150676879772</v>
      </c>
      <c r="BK4" s="32"/>
      <c r="BM4" s="32">
        <v>6.9067999999999996</v>
      </c>
      <c r="BN4" s="32">
        <v>0</v>
      </c>
      <c r="BO4" s="32">
        <v>1.4440999999999999</v>
      </c>
      <c r="BP4" s="34">
        <f t="shared" si="18"/>
        <v>48.850899999999996</v>
      </c>
      <c r="BQ4" s="34">
        <f t="shared" ref="BQ4:BR64" si="51">BM4+Z4</f>
        <v>46.751899999999999</v>
      </c>
      <c r="BR4" s="34">
        <f t="shared" si="51"/>
        <v>0</v>
      </c>
      <c r="BS4" s="34">
        <f t="shared" ref="BS4:BS64" si="52">BO4+AC4</f>
        <v>3.0427999999999997</v>
      </c>
      <c r="BU4" s="34">
        <f t="shared" si="19"/>
        <v>45.780272371014483</v>
      </c>
      <c r="BV4" s="34">
        <f t="shared" si="20"/>
        <v>0</v>
      </c>
      <c r="BW4" s="35">
        <f t="shared" si="21"/>
        <v>9.5719133797101428</v>
      </c>
      <c r="BX4" s="34">
        <f t="shared" si="50"/>
        <v>0</v>
      </c>
      <c r="BY4" s="34">
        <f t="shared" si="22"/>
        <v>323.79792488115936</v>
      </c>
      <c r="CA4" s="34">
        <f t="shared" si="23"/>
        <v>193.41052966208062</v>
      </c>
      <c r="CB4" s="35">
        <f t="shared" si="24"/>
        <v>0</v>
      </c>
      <c r="CC4" s="34">
        <f t="shared" si="25"/>
        <v>40.439008786270144</v>
      </c>
      <c r="CD4" s="34">
        <f t="shared" si="26"/>
        <v>0</v>
      </c>
      <c r="CE4" s="34">
        <f t="shared" si="27"/>
        <v>1367.9675744873653</v>
      </c>
      <c r="CG4" s="34">
        <f t="shared" si="28"/>
        <v>1309.1894570146274</v>
      </c>
      <c r="CH4" s="34">
        <f t="shared" si="28"/>
        <v>0</v>
      </c>
      <c r="CI4" s="34">
        <f t="shared" si="28"/>
        <v>85.207268149617619</v>
      </c>
      <c r="CJ4" s="34">
        <f t="shared" si="29"/>
        <v>0</v>
      </c>
      <c r="CK4" s="34">
        <f t="shared" si="30"/>
        <v>1367.9675744873653</v>
      </c>
      <c r="CL4" s="34">
        <f t="shared" si="31"/>
        <v>1394.396725164245</v>
      </c>
      <c r="CM4" s="34">
        <f t="shared" si="32"/>
        <v>233.84953844835081</v>
      </c>
      <c r="CO4" s="34">
        <f t="shared" si="33"/>
        <v>206.38318546683564</v>
      </c>
      <c r="CP4" s="34">
        <f t="shared" si="34"/>
        <v>206.38318546683564</v>
      </c>
      <c r="CQ4" s="34">
        <f t="shared" si="35"/>
        <v>0</v>
      </c>
      <c r="CR4" s="34">
        <f t="shared" si="36"/>
        <v>35.280523869877484</v>
      </c>
      <c r="CS4" s="34">
        <f t="shared" si="37"/>
        <v>175.08998732572877</v>
      </c>
    </row>
    <row r="5" spans="1:97" x14ac:dyDescent="0.25">
      <c r="A5" s="14" t="s">
        <v>91</v>
      </c>
      <c r="B5" t="s">
        <v>88</v>
      </c>
      <c r="C5" s="15">
        <v>242800</v>
      </c>
      <c r="D5" s="36">
        <v>34.700000000000003</v>
      </c>
      <c r="E5" s="17">
        <f>+D5/D4-1</f>
        <v>5.7971014492754769E-3</v>
      </c>
      <c r="F5" s="37">
        <f t="shared" ref="F5:F64" si="53">+$D$62/D5</f>
        <v>6.5900864553314111</v>
      </c>
      <c r="G5" s="18"/>
      <c r="H5" s="19"/>
      <c r="I5" s="19"/>
      <c r="J5" s="20">
        <v>0.2</v>
      </c>
      <c r="K5" s="19"/>
      <c r="L5" s="19"/>
      <c r="M5" s="19">
        <v>4.5</v>
      </c>
      <c r="N5" s="19">
        <v>21.3</v>
      </c>
      <c r="O5" s="19"/>
      <c r="P5" s="21">
        <f t="shared" si="0"/>
        <v>26</v>
      </c>
      <c r="Q5" s="20">
        <f t="shared" ref="Q5:Q55" si="54">$Q4+P5</f>
        <v>43.2</v>
      </c>
      <c r="R5" s="18">
        <v>42.9</v>
      </c>
      <c r="S5" s="18"/>
      <c r="T5" s="22">
        <f t="shared" si="38"/>
        <v>68.900000000000006</v>
      </c>
      <c r="U5" s="23">
        <f t="shared" si="1"/>
        <v>0.37735849056603771</v>
      </c>
      <c r="V5" s="24"/>
      <c r="W5" s="24"/>
      <c r="X5" s="24"/>
      <c r="Z5" s="26">
        <v>45.317700000000002</v>
      </c>
      <c r="AA5" s="27">
        <v>1.1463000000000001</v>
      </c>
      <c r="AB5" s="28">
        <f t="shared" si="39"/>
        <v>46.463999999999999</v>
      </c>
      <c r="AC5" s="29">
        <v>6.3419999999999996</v>
      </c>
      <c r="AD5" s="24"/>
      <c r="AE5" s="28">
        <f t="shared" si="2"/>
        <v>52.805999999999997</v>
      </c>
      <c r="AF5" s="30"/>
      <c r="AG5" s="27">
        <v>0</v>
      </c>
      <c r="AH5" s="31">
        <f t="shared" si="40"/>
        <v>16.094000000000008</v>
      </c>
      <c r="AI5" s="28">
        <f t="shared" si="41"/>
        <v>16.094000000000008</v>
      </c>
      <c r="AK5" s="32">
        <f t="shared" si="3"/>
        <v>298.64756095677228</v>
      </c>
      <c r="AL5" s="32">
        <f t="shared" si="4"/>
        <v>7.5542161037463975</v>
      </c>
      <c r="AM5" s="32">
        <f t="shared" si="5"/>
        <v>41.794328299711808</v>
      </c>
      <c r="AN5" s="32">
        <f t="shared" si="42"/>
        <v>0</v>
      </c>
      <c r="AO5" s="32">
        <f t="shared" si="6"/>
        <v>454.05695677233427</v>
      </c>
      <c r="AP5" s="33">
        <f t="shared" si="7"/>
        <v>0</v>
      </c>
      <c r="AQ5" s="33">
        <f t="shared" si="43"/>
        <v>0</v>
      </c>
      <c r="AS5" s="33">
        <f t="shared" si="8"/>
        <v>186.64621087314663</v>
      </c>
      <c r="AT5" s="33">
        <f t="shared" si="9"/>
        <v>4.7211696869851734</v>
      </c>
      <c r="AU5" s="33">
        <f t="shared" si="10"/>
        <v>26.120263591433279</v>
      </c>
      <c r="AV5" s="33">
        <f t="shared" si="44"/>
        <v>0</v>
      </c>
      <c r="AW5" s="33">
        <f t="shared" si="11"/>
        <v>217.48764415156509</v>
      </c>
      <c r="AX5" s="33">
        <f t="shared" si="12"/>
        <v>283.77265238879738</v>
      </c>
      <c r="AY5" s="33">
        <f t="shared" si="45"/>
        <v>0</v>
      </c>
      <c r="AZ5" s="33">
        <f t="shared" si="46"/>
        <v>0</v>
      </c>
      <c r="BB5" s="32">
        <f t="shared" si="13"/>
        <v>1230.0146662140539</v>
      </c>
      <c r="BC5" s="32">
        <f t="shared" si="14"/>
        <v>31.112916407522231</v>
      </c>
      <c r="BD5" s="32">
        <f t="shared" si="15"/>
        <v>172.13479530359064</v>
      </c>
      <c r="BE5" s="32">
        <f t="shared" si="16"/>
        <v>1870.0863129008826</v>
      </c>
      <c r="BF5" s="32">
        <f t="shared" si="47"/>
        <v>0</v>
      </c>
      <c r="BG5" s="32">
        <f t="shared" si="48"/>
        <v>1433.2623779251669</v>
      </c>
      <c r="BH5" s="32">
        <f t="shared" si="17"/>
        <v>0</v>
      </c>
      <c r="BI5" s="32">
        <f t="shared" si="49"/>
        <v>0</v>
      </c>
      <c r="BJ5" s="32">
        <f t="shared" ref="BJ5:BJ64" si="55">BE5-BG5+BH5+BI5</f>
        <v>436.8239349757157</v>
      </c>
      <c r="BK5" s="32"/>
      <c r="BM5" s="32">
        <v>3.282</v>
      </c>
      <c r="BN5" s="32">
        <v>0</v>
      </c>
      <c r="BO5" s="32">
        <v>5.0770999999999997</v>
      </c>
      <c r="BP5" s="34">
        <f t="shared" si="18"/>
        <v>77.259100000000004</v>
      </c>
      <c r="BQ5" s="34">
        <f t="shared" si="51"/>
        <v>48.599699999999999</v>
      </c>
      <c r="BR5" s="34">
        <f t="shared" si="51"/>
        <v>1.1463000000000001</v>
      </c>
      <c r="BS5" s="34">
        <f t="shared" si="52"/>
        <v>11.4191</v>
      </c>
      <c r="BU5" s="34">
        <f t="shared" si="19"/>
        <v>21.628663746397692</v>
      </c>
      <c r="BV5" s="34">
        <f t="shared" si="20"/>
        <v>0</v>
      </c>
      <c r="BW5" s="35">
        <f t="shared" si="21"/>
        <v>33.458527942363105</v>
      </c>
      <c r="BX5" s="34">
        <f t="shared" si="50"/>
        <v>0</v>
      </c>
      <c r="BY5" s="34">
        <f t="shared" si="22"/>
        <v>509.14414846109503</v>
      </c>
      <c r="CA5" s="34">
        <f t="shared" si="23"/>
        <v>89.080163700155239</v>
      </c>
      <c r="CB5" s="35">
        <f t="shared" si="24"/>
        <v>0</v>
      </c>
      <c r="CC5" s="34">
        <f t="shared" si="25"/>
        <v>137.8028333705235</v>
      </c>
      <c r="CD5" s="34">
        <f t="shared" si="26"/>
        <v>0</v>
      </c>
      <c r="CE5" s="34">
        <f t="shared" si="27"/>
        <v>2096.969309971561</v>
      </c>
      <c r="CG5" s="34">
        <f t="shared" si="28"/>
        <v>1319.0948299142092</v>
      </c>
      <c r="CH5" s="34">
        <f t="shared" si="28"/>
        <v>31.112916407522231</v>
      </c>
      <c r="CI5" s="34">
        <f t="shared" si="28"/>
        <v>309.93762867411414</v>
      </c>
      <c r="CJ5" s="34">
        <f t="shared" si="29"/>
        <v>0</v>
      </c>
      <c r="CK5" s="34">
        <f t="shared" si="30"/>
        <v>2096.969309971561</v>
      </c>
      <c r="CL5" s="34">
        <f t="shared" si="31"/>
        <v>1660.1453749958457</v>
      </c>
      <c r="CM5" s="34">
        <f t="shared" si="32"/>
        <v>226.88299707067881</v>
      </c>
      <c r="CO5" s="34">
        <f t="shared" si="33"/>
        <v>318.20057660626026</v>
      </c>
      <c r="CP5" s="34">
        <f t="shared" si="34"/>
        <v>318.20057660626026</v>
      </c>
      <c r="CQ5" s="34">
        <f t="shared" si="35"/>
        <v>0</v>
      </c>
      <c r="CR5" s="34">
        <f t="shared" si="36"/>
        <v>34.427924217462945</v>
      </c>
      <c r="CS5" s="34">
        <f t="shared" si="37"/>
        <v>217.48764415156509</v>
      </c>
    </row>
    <row r="6" spans="1:97" x14ac:dyDescent="0.25">
      <c r="A6" s="14" t="s">
        <v>92</v>
      </c>
      <c r="B6" t="s">
        <v>88</v>
      </c>
      <c r="C6" s="15">
        <v>249900</v>
      </c>
      <c r="D6" s="36">
        <v>34.799999999999997</v>
      </c>
      <c r="E6" s="17">
        <f t="shared" ref="E6:E59" si="56">+D6/D5-1</f>
        <v>2.8818443804032867E-3</v>
      </c>
      <c r="F6" s="37">
        <f t="shared" si="53"/>
        <v>6.5711494252873566</v>
      </c>
      <c r="G6" s="18"/>
      <c r="H6" s="19"/>
      <c r="I6" s="19"/>
      <c r="J6" s="20">
        <v>0.3</v>
      </c>
      <c r="K6" s="19"/>
      <c r="L6" s="19"/>
      <c r="M6" s="19">
        <v>8.6</v>
      </c>
      <c r="N6" s="19">
        <v>18.899999999999999</v>
      </c>
      <c r="O6" s="19"/>
      <c r="P6" s="21">
        <f t="shared" si="0"/>
        <v>27.799999999999997</v>
      </c>
      <c r="Q6" s="20">
        <f t="shared" si="54"/>
        <v>71</v>
      </c>
      <c r="R6" s="18">
        <v>43.8</v>
      </c>
      <c r="S6" s="18"/>
      <c r="T6" s="22">
        <f t="shared" si="38"/>
        <v>71.599999999999994</v>
      </c>
      <c r="U6" s="23">
        <f t="shared" si="1"/>
        <v>0.38826815642458101</v>
      </c>
      <c r="V6" s="24"/>
      <c r="W6" s="24"/>
      <c r="X6" s="24"/>
      <c r="Z6" s="26">
        <v>59.883899999999997</v>
      </c>
      <c r="AA6" s="27">
        <v>1.6266</v>
      </c>
      <c r="AB6" s="28">
        <f t="shared" si="39"/>
        <v>61.5105</v>
      </c>
      <c r="AC6" s="29">
        <v>7.6694000000000004</v>
      </c>
      <c r="AD6" s="24"/>
      <c r="AE6" s="28">
        <f t="shared" si="2"/>
        <v>69.179900000000004</v>
      </c>
      <c r="AF6" s="30"/>
      <c r="AG6" s="27">
        <v>0</v>
      </c>
      <c r="AH6" s="31">
        <f t="shared" si="40"/>
        <v>2.4200999999999908</v>
      </c>
      <c r="AI6" s="28">
        <f t="shared" si="41"/>
        <v>2.4200999999999908</v>
      </c>
      <c r="AK6" s="32">
        <f t="shared" si="3"/>
        <v>393.50605506896551</v>
      </c>
      <c r="AL6" s="32">
        <f t="shared" si="4"/>
        <v>10.688631655172415</v>
      </c>
      <c r="AM6" s="32">
        <f t="shared" si="5"/>
        <v>50.396773402298855</v>
      </c>
      <c r="AN6" s="32">
        <f t="shared" si="42"/>
        <v>0</v>
      </c>
      <c r="AO6" s="32">
        <f t="shared" si="6"/>
        <v>470.49429885057469</v>
      </c>
      <c r="AP6" s="33">
        <f t="shared" si="7"/>
        <v>0</v>
      </c>
      <c r="AQ6" s="33">
        <f t="shared" si="43"/>
        <v>0</v>
      </c>
      <c r="AS6" s="33">
        <f t="shared" si="8"/>
        <v>239.63145258103239</v>
      </c>
      <c r="AT6" s="33">
        <f t="shared" si="9"/>
        <v>6.5090036014405763</v>
      </c>
      <c r="AU6" s="33">
        <f t="shared" si="10"/>
        <v>30.689875950380152</v>
      </c>
      <c r="AV6" s="33">
        <f t="shared" si="44"/>
        <v>0</v>
      </c>
      <c r="AW6" s="33">
        <f t="shared" si="11"/>
        <v>276.83033213285313</v>
      </c>
      <c r="AX6" s="33">
        <f t="shared" si="12"/>
        <v>286.51460584233689</v>
      </c>
      <c r="AY6" s="33">
        <f t="shared" si="45"/>
        <v>0</v>
      </c>
      <c r="AZ6" s="33">
        <f t="shared" si="46"/>
        <v>0</v>
      </c>
      <c r="BB6" s="32">
        <f t="shared" si="13"/>
        <v>1574.6540819086254</v>
      </c>
      <c r="BC6" s="32">
        <f t="shared" si="14"/>
        <v>42.771635274799578</v>
      </c>
      <c r="BD6" s="32">
        <f t="shared" si="15"/>
        <v>201.66776071348082</v>
      </c>
      <c r="BE6" s="32">
        <f t="shared" si="16"/>
        <v>1882.7302875173057</v>
      </c>
      <c r="BF6" s="32">
        <f t="shared" si="47"/>
        <v>0</v>
      </c>
      <c r="BG6" s="32">
        <f t="shared" si="48"/>
        <v>1819.0934778969058</v>
      </c>
      <c r="BH6" s="32">
        <f t="shared" si="17"/>
        <v>0</v>
      </c>
      <c r="BI6" s="32">
        <f t="shared" si="49"/>
        <v>0</v>
      </c>
      <c r="BJ6" s="32">
        <f t="shared" si="55"/>
        <v>63.636809620399845</v>
      </c>
      <c r="BK6" s="32"/>
      <c r="BM6" s="32">
        <v>4.8898000000000001</v>
      </c>
      <c r="BN6" s="32">
        <v>0.71040000000000003</v>
      </c>
      <c r="BO6" s="32">
        <v>1.1892</v>
      </c>
      <c r="BP6" s="34">
        <f t="shared" si="18"/>
        <v>78.389399999999995</v>
      </c>
      <c r="BQ6" s="34">
        <f t="shared" si="51"/>
        <v>64.773699999999991</v>
      </c>
      <c r="BR6" s="34">
        <f t="shared" si="51"/>
        <v>2.3370000000000002</v>
      </c>
      <c r="BS6" s="34">
        <f t="shared" si="52"/>
        <v>8.8586000000000009</v>
      </c>
      <c r="BU6" s="34">
        <f t="shared" si="19"/>
        <v>32.131606459770119</v>
      </c>
      <c r="BV6" s="34">
        <f t="shared" si="20"/>
        <v>4.6681445517241382</v>
      </c>
      <c r="BW6" s="35">
        <f t="shared" si="21"/>
        <v>7.8144108965517249</v>
      </c>
      <c r="BX6" s="34">
        <f t="shared" si="50"/>
        <v>0</v>
      </c>
      <c r="BY6" s="34">
        <f t="shared" si="22"/>
        <v>515.10846075862071</v>
      </c>
      <c r="CA6" s="34">
        <f t="shared" si="23"/>
        <v>128.57785698187323</v>
      </c>
      <c r="CB6" s="35">
        <f t="shared" si="24"/>
        <v>18.680050226987348</v>
      </c>
      <c r="CC6" s="34">
        <f t="shared" si="25"/>
        <v>31.270151646865646</v>
      </c>
      <c r="CD6" s="34">
        <f t="shared" si="26"/>
        <v>0</v>
      </c>
      <c r="CE6" s="34">
        <f t="shared" si="27"/>
        <v>2061.2583463730321</v>
      </c>
      <c r="CG6" s="34">
        <f t="shared" si="28"/>
        <v>1703.2319388904987</v>
      </c>
      <c r="CH6" s="34">
        <f t="shared" si="28"/>
        <v>61.451685501786926</v>
      </c>
      <c r="CI6" s="34">
        <f t="shared" si="28"/>
        <v>232.93791236034647</v>
      </c>
      <c r="CJ6" s="34">
        <f t="shared" si="29"/>
        <v>0</v>
      </c>
      <c r="CK6" s="34">
        <f t="shared" si="30"/>
        <v>2061.2583463730321</v>
      </c>
      <c r="CL6" s="34">
        <f t="shared" si="31"/>
        <v>1997.621536752632</v>
      </c>
      <c r="CM6" s="34">
        <f t="shared" si="32"/>
        <v>178.52805885572616</v>
      </c>
      <c r="CO6" s="34">
        <f t="shared" si="33"/>
        <v>313.68307322929172</v>
      </c>
      <c r="CP6" s="34">
        <f t="shared" si="34"/>
        <v>313.68307322929172</v>
      </c>
      <c r="CQ6" s="34">
        <f t="shared" si="35"/>
        <v>0</v>
      </c>
      <c r="CR6" s="34">
        <f t="shared" si="36"/>
        <v>27.168467386954774</v>
      </c>
      <c r="CS6" s="34">
        <f t="shared" si="37"/>
        <v>276.83033213285313</v>
      </c>
    </row>
    <row r="7" spans="1:97" x14ac:dyDescent="0.25">
      <c r="A7" s="14" t="s">
        <v>93</v>
      </c>
      <c r="B7" t="s">
        <v>88</v>
      </c>
      <c r="C7" s="15">
        <v>253200</v>
      </c>
      <c r="D7" s="36">
        <v>35</v>
      </c>
      <c r="E7" s="17">
        <f t="shared" si="56"/>
        <v>5.7471264367816577E-3</v>
      </c>
      <c r="F7" s="37">
        <f t="shared" si="53"/>
        <v>6.5335999999999999</v>
      </c>
      <c r="G7" s="18"/>
      <c r="H7" s="19"/>
      <c r="I7" s="19"/>
      <c r="J7" s="20">
        <v>0.3</v>
      </c>
      <c r="K7" s="19"/>
      <c r="L7" s="19"/>
      <c r="M7" s="19">
        <v>8.6999999999999993</v>
      </c>
      <c r="N7" s="19">
        <v>5.9</v>
      </c>
      <c r="O7" s="19"/>
      <c r="P7" s="21">
        <f t="shared" si="0"/>
        <v>14.9</v>
      </c>
      <c r="Q7" s="20">
        <f t="shared" si="54"/>
        <v>85.9</v>
      </c>
      <c r="R7" s="18">
        <v>52.1</v>
      </c>
      <c r="S7" s="18"/>
      <c r="T7" s="22">
        <f t="shared" si="38"/>
        <v>67</v>
      </c>
      <c r="U7" s="23">
        <f t="shared" si="1"/>
        <v>0.22238805970149253</v>
      </c>
      <c r="V7" s="24"/>
      <c r="W7" s="24"/>
      <c r="X7" s="24"/>
      <c r="Z7" s="26">
        <v>71.218599999999995</v>
      </c>
      <c r="AA7" s="27">
        <v>2.1162999999999998</v>
      </c>
      <c r="AB7" s="28">
        <f t="shared" si="39"/>
        <v>73.33489999999999</v>
      </c>
      <c r="AC7" s="29">
        <v>10.8794</v>
      </c>
      <c r="AD7" s="24"/>
      <c r="AE7" s="28">
        <f t="shared" si="2"/>
        <v>84.214299999999994</v>
      </c>
      <c r="AF7" s="30"/>
      <c r="AG7" s="27">
        <v>0</v>
      </c>
      <c r="AH7" s="31">
        <f t="shared" si="40"/>
        <v>-17.214299999999994</v>
      </c>
      <c r="AI7" s="28">
        <f t="shared" si="41"/>
        <v>-17.214299999999994</v>
      </c>
      <c r="AK7" s="32">
        <f t="shared" si="3"/>
        <v>465.31384495999998</v>
      </c>
      <c r="AL7" s="32">
        <f t="shared" si="4"/>
        <v>13.827057679999999</v>
      </c>
      <c r="AM7" s="32">
        <f t="shared" si="5"/>
        <v>71.081647840000002</v>
      </c>
      <c r="AN7" s="32">
        <f t="shared" si="42"/>
        <v>0</v>
      </c>
      <c r="AO7" s="32">
        <f t="shared" si="6"/>
        <v>437.75119999999998</v>
      </c>
      <c r="AP7" s="33">
        <f t="shared" si="7"/>
        <v>0</v>
      </c>
      <c r="AQ7" s="33">
        <f t="shared" si="43"/>
        <v>0</v>
      </c>
      <c r="AS7" s="33">
        <f t="shared" si="8"/>
        <v>281.2740916271722</v>
      </c>
      <c r="AT7" s="33">
        <f t="shared" si="9"/>
        <v>8.3582148499210103</v>
      </c>
      <c r="AU7" s="33">
        <f t="shared" si="10"/>
        <v>42.967614533965246</v>
      </c>
      <c r="AV7" s="33">
        <f t="shared" si="44"/>
        <v>0</v>
      </c>
      <c r="AW7" s="33">
        <f t="shared" si="11"/>
        <v>332.59992101105843</v>
      </c>
      <c r="AX7" s="33">
        <f t="shared" si="12"/>
        <v>264.6129541864139</v>
      </c>
      <c r="AY7" s="33">
        <f t="shared" si="45"/>
        <v>0</v>
      </c>
      <c r="AZ7" s="33">
        <f t="shared" si="46"/>
        <v>0</v>
      </c>
      <c r="BB7" s="32">
        <f t="shared" si="13"/>
        <v>1837.7324050552922</v>
      </c>
      <c r="BC7" s="32">
        <f t="shared" si="14"/>
        <v>54.609232543443916</v>
      </c>
      <c r="BD7" s="32">
        <f t="shared" si="15"/>
        <v>280.73320631911537</v>
      </c>
      <c r="BE7" s="32">
        <f t="shared" si="16"/>
        <v>1728.8751974723539</v>
      </c>
      <c r="BF7" s="32">
        <f t="shared" si="47"/>
        <v>0</v>
      </c>
      <c r="BG7" s="32">
        <f t="shared" si="48"/>
        <v>2173.0748439178515</v>
      </c>
      <c r="BH7" s="32">
        <f t="shared" si="17"/>
        <v>0</v>
      </c>
      <c r="BI7" s="32">
        <f t="shared" si="49"/>
        <v>0</v>
      </c>
      <c r="BJ7" s="32">
        <f t="shared" si="55"/>
        <v>-444.19964644549759</v>
      </c>
      <c r="BK7" s="32"/>
      <c r="BM7" s="32">
        <v>19.638300000000001</v>
      </c>
      <c r="BN7" s="32">
        <v>0</v>
      </c>
      <c r="BO7" s="32">
        <v>58.898299999999999</v>
      </c>
      <c r="BP7" s="34">
        <f t="shared" si="18"/>
        <v>145.53659999999999</v>
      </c>
      <c r="BQ7" s="34">
        <f t="shared" si="51"/>
        <v>90.856899999999996</v>
      </c>
      <c r="BR7" s="34">
        <f t="shared" si="51"/>
        <v>2.1162999999999998</v>
      </c>
      <c r="BS7" s="34">
        <f t="shared" si="52"/>
        <v>69.777699999999996</v>
      </c>
      <c r="BU7" s="34">
        <f t="shared" si="19"/>
        <v>128.30879688000002</v>
      </c>
      <c r="BV7" s="34">
        <f t="shared" si="20"/>
        <v>0</v>
      </c>
      <c r="BW7" s="35">
        <f t="shared" si="21"/>
        <v>384.81793288</v>
      </c>
      <c r="BX7" s="34">
        <f t="shared" si="50"/>
        <v>0</v>
      </c>
      <c r="BY7" s="34">
        <f t="shared" si="22"/>
        <v>950.87792975999992</v>
      </c>
      <c r="CA7" s="34">
        <f t="shared" si="23"/>
        <v>506.74880284360199</v>
      </c>
      <c r="CB7" s="35">
        <f t="shared" si="24"/>
        <v>0</v>
      </c>
      <c r="CC7" s="34">
        <f t="shared" si="25"/>
        <v>1519.8180603475514</v>
      </c>
      <c r="CD7" s="34">
        <f t="shared" si="26"/>
        <v>0</v>
      </c>
      <c r="CE7" s="34">
        <f t="shared" si="27"/>
        <v>3755.4420606635072</v>
      </c>
      <c r="CG7" s="34">
        <f t="shared" si="28"/>
        <v>2344.4812078988944</v>
      </c>
      <c r="CH7" s="34">
        <f t="shared" si="28"/>
        <v>54.609232543443916</v>
      </c>
      <c r="CI7" s="34">
        <f t="shared" si="28"/>
        <v>1800.5512666666668</v>
      </c>
      <c r="CJ7" s="34">
        <f t="shared" si="29"/>
        <v>0</v>
      </c>
      <c r="CK7" s="34">
        <f t="shared" si="30"/>
        <v>3755.4420606635072</v>
      </c>
      <c r="CL7" s="34">
        <f t="shared" si="31"/>
        <v>4199.6417071090054</v>
      </c>
      <c r="CM7" s="34">
        <f t="shared" si="32"/>
        <v>2026.566863191154</v>
      </c>
      <c r="CO7" s="34">
        <f t="shared" si="33"/>
        <v>574.78909952606637</v>
      </c>
      <c r="CP7" s="34">
        <f t="shared" si="34"/>
        <v>574.78909952606637</v>
      </c>
      <c r="CQ7" s="34">
        <f t="shared" si="35"/>
        <v>0</v>
      </c>
      <c r="CR7" s="34">
        <f t="shared" si="36"/>
        <v>310.17614533965258</v>
      </c>
      <c r="CS7" s="34">
        <f t="shared" si="37"/>
        <v>332.59992101105843</v>
      </c>
    </row>
    <row r="8" spans="1:97" x14ac:dyDescent="0.25">
      <c r="A8" s="14" t="s">
        <v>94</v>
      </c>
      <c r="B8" t="s">
        <v>88</v>
      </c>
      <c r="C8" s="15">
        <v>265200</v>
      </c>
      <c r="D8" s="36">
        <v>35.299999999999997</v>
      </c>
      <c r="E8" s="17">
        <f t="shared" si="56"/>
        <v>8.5714285714284522E-3</v>
      </c>
      <c r="F8" s="37">
        <f t="shared" si="53"/>
        <v>6.4780736543909354</v>
      </c>
      <c r="G8" s="18"/>
      <c r="H8" s="19"/>
      <c r="I8" s="19"/>
      <c r="J8" s="20">
        <v>0.3</v>
      </c>
      <c r="K8" s="19"/>
      <c r="L8" s="19"/>
      <c r="M8" s="19">
        <v>8.4</v>
      </c>
      <c r="N8" s="19">
        <v>7.8</v>
      </c>
      <c r="O8" s="19"/>
      <c r="P8" s="21">
        <f t="shared" si="0"/>
        <v>16.5</v>
      </c>
      <c r="Q8" s="20">
        <f t="shared" si="54"/>
        <v>102.4</v>
      </c>
      <c r="R8" s="20">
        <v>66.5</v>
      </c>
      <c r="S8" s="20"/>
      <c r="T8" s="22">
        <f t="shared" si="38"/>
        <v>83</v>
      </c>
      <c r="U8" s="23">
        <f t="shared" si="1"/>
        <v>0.19879518072289157</v>
      </c>
      <c r="V8" s="24"/>
      <c r="W8" s="24"/>
      <c r="X8" s="24"/>
      <c r="Z8" s="26">
        <v>72.3947</v>
      </c>
      <c r="AA8" s="27">
        <v>2.3140000000000001</v>
      </c>
      <c r="AB8" s="28">
        <f t="shared" si="39"/>
        <v>74.708699999999993</v>
      </c>
      <c r="AC8" s="29">
        <v>0.94899999999999995</v>
      </c>
      <c r="AD8" s="24"/>
      <c r="AE8" s="28">
        <f t="shared" si="2"/>
        <v>75.657699999999991</v>
      </c>
      <c r="AF8" s="30"/>
      <c r="AG8" s="27">
        <v>0</v>
      </c>
      <c r="AH8" s="31">
        <f t="shared" si="40"/>
        <v>7.3423000000000087</v>
      </c>
      <c r="AI8" s="28">
        <f t="shared" si="41"/>
        <v>7.3423000000000087</v>
      </c>
      <c r="AK8" s="32">
        <f t="shared" si="3"/>
        <v>468.97819878753546</v>
      </c>
      <c r="AL8" s="32">
        <f t="shared" si="4"/>
        <v>14.990262436260625</v>
      </c>
      <c r="AM8" s="32">
        <f t="shared" si="5"/>
        <v>6.1476918980169977</v>
      </c>
      <c r="AN8" s="32">
        <f t="shared" si="42"/>
        <v>0</v>
      </c>
      <c r="AO8" s="32">
        <f t="shared" si="6"/>
        <v>537.68011331444768</v>
      </c>
      <c r="AP8" s="33">
        <f t="shared" si="7"/>
        <v>0</v>
      </c>
      <c r="AQ8" s="33">
        <f t="shared" si="43"/>
        <v>0</v>
      </c>
      <c r="AS8" s="33">
        <f t="shared" si="8"/>
        <v>272.98152337858221</v>
      </c>
      <c r="AT8" s="33">
        <f t="shared" si="9"/>
        <v>8.7254901960784323</v>
      </c>
      <c r="AU8" s="33">
        <f t="shared" si="10"/>
        <v>3.5784313725490198</v>
      </c>
      <c r="AV8" s="33">
        <f t="shared" si="44"/>
        <v>0</v>
      </c>
      <c r="AW8" s="33">
        <f t="shared" si="11"/>
        <v>285.28544494720967</v>
      </c>
      <c r="AX8" s="33">
        <f t="shared" si="12"/>
        <v>312.97134238310707</v>
      </c>
      <c r="AY8" s="33">
        <f t="shared" si="45"/>
        <v>0</v>
      </c>
      <c r="AZ8" s="33">
        <f t="shared" si="46"/>
        <v>0</v>
      </c>
      <c r="BB8" s="32">
        <f t="shared" si="13"/>
        <v>1768.3944147342966</v>
      </c>
      <c r="BC8" s="32">
        <f t="shared" si="14"/>
        <v>56.524368160862089</v>
      </c>
      <c r="BD8" s="32">
        <f t="shared" si="15"/>
        <v>23.181341998555798</v>
      </c>
      <c r="BE8" s="32">
        <f t="shared" si="16"/>
        <v>2027.4514076713715</v>
      </c>
      <c r="BF8" s="32">
        <f t="shared" si="47"/>
        <v>0</v>
      </c>
      <c r="BG8" s="32">
        <f t="shared" si="48"/>
        <v>1848.1001248937146</v>
      </c>
      <c r="BH8" s="32">
        <f t="shared" si="17"/>
        <v>0</v>
      </c>
      <c r="BI8" s="32">
        <f t="shared" si="49"/>
        <v>0</v>
      </c>
      <c r="BJ8" s="32">
        <f t="shared" si="55"/>
        <v>179.35128277765693</v>
      </c>
      <c r="BK8" s="32"/>
      <c r="BM8" s="32">
        <v>27.582899999999999</v>
      </c>
      <c r="BN8" s="32">
        <v>0.214</v>
      </c>
      <c r="BO8" s="32">
        <v>110.056</v>
      </c>
      <c r="BP8" s="34">
        <f t="shared" si="18"/>
        <v>220.85290000000001</v>
      </c>
      <c r="BQ8" s="34">
        <f t="shared" si="51"/>
        <v>99.977599999999995</v>
      </c>
      <c r="BR8" s="34">
        <f t="shared" si="51"/>
        <v>2.528</v>
      </c>
      <c r="BS8" s="34">
        <f t="shared" si="52"/>
        <v>111.005</v>
      </c>
      <c r="BU8" s="34">
        <f t="shared" si="19"/>
        <v>178.68405780169974</v>
      </c>
      <c r="BV8" s="34">
        <f t="shared" si="20"/>
        <v>1.3863077620396602</v>
      </c>
      <c r="BW8" s="35">
        <f t="shared" si="21"/>
        <v>712.95087410764881</v>
      </c>
      <c r="BX8" s="34">
        <f t="shared" si="50"/>
        <v>0</v>
      </c>
      <c r="BY8" s="34">
        <f t="shared" si="22"/>
        <v>1430.7013529858359</v>
      </c>
      <c r="CA8" s="34">
        <f t="shared" si="23"/>
        <v>673.77095701998394</v>
      </c>
      <c r="CB8" s="35">
        <f t="shared" si="24"/>
        <v>5.2274048342370296</v>
      </c>
      <c r="CC8" s="34">
        <f t="shared" si="25"/>
        <v>2688.351712321451</v>
      </c>
      <c r="CD8" s="34">
        <f t="shared" si="26"/>
        <v>0</v>
      </c>
      <c r="CE8" s="34">
        <f t="shared" si="27"/>
        <v>5394.8014818470438</v>
      </c>
      <c r="CG8" s="34">
        <f t="shared" si="28"/>
        <v>2442.1653717542804</v>
      </c>
      <c r="CH8" s="34">
        <f t="shared" si="28"/>
        <v>61.751772995099117</v>
      </c>
      <c r="CI8" s="34">
        <f t="shared" si="28"/>
        <v>2711.5330543200066</v>
      </c>
      <c r="CJ8" s="34">
        <f t="shared" si="29"/>
        <v>0</v>
      </c>
      <c r="CK8" s="34">
        <f t="shared" si="30"/>
        <v>5394.8014818470438</v>
      </c>
      <c r="CL8" s="34">
        <f t="shared" si="31"/>
        <v>5215.4501990693861</v>
      </c>
      <c r="CM8" s="34">
        <f t="shared" si="32"/>
        <v>3367.3500741756716</v>
      </c>
      <c r="CO8" s="34">
        <f t="shared" si="33"/>
        <v>832.77865761689304</v>
      </c>
      <c r="CP8" s="34">
        <f t="shared" si="34"/>
        <v>832.77865761689304</v>
      </c>
      <c r="CQ8" s="34">
        <f t="shared" si="35"/>
        <v>0</v>
      </c>
      <c r="CR8" s="34">
        <f t="shared" si="36"/>
        <v>519.80731523378574</v>
      </c>
      <c r="CS8" s="34">
        <f t="shared" si="37"/>
        <v>285.28544494720967</v>
      </c>
    </row>
    <row r="9" spans="1:97" x14ac:dyDescent="0.25">
      <c r="A9" s="14" t="s">
        <v>95</v>
      </c>
      <c r="B9" t="s">
        <v>88</v>
      </c>
      <c r="C9" s="15">
        <v>271500</v>
      </c>
      <c r="D9" s="36">
        <v>36.299999999999997</v>
      </c>
      <c r="E9" s="17">
        <f t="shared" si="56"/>
        <v>2.8328611898017053E-2</v>
      </c>
      <c r="F9" s="37">
        <f t="shared" si="53"/>
        <v>6.2996143250688705</v>
      </c>
      <c r="G9" s="18"/>
      <c r="H9" s="19"/>
      <c r="I9" s="19"/>
      <c r="J9" s="20">
        <v>0.3</v>
      </c>
      <c r="K9" s="19"/>
      <c r="L9" s="19"/>
      <c r="M9" s="19">
        <v>8</v>
      </c>
      <c r="N9" s="19">
        <v>13.3</v>
      </c>
      <c r="O9" s="19"/>
      <c r="P9" s="21">
        <f t="shared" si="0"/>
        <v>21.6</v>
      </c>
      <c r="Q9" s="20">
        <f t="shared" si="54"/>
        <v>124</v>
      </c>
      <c r="R9" s="20">
        <v>64.900000000000006</v>
      </c>
      <c r="S9" s="20"/>
      <c r="T9" s="22">
        <f t="shared" si="38"/>
        <v>86.5</v>
      </c>
      <c r="U9" s="23">
        <f t="shared" si="1"/>
        <v>0.24971098265895955</v>
      </c>
      <c r="V9" s="24"/>
      <c r="W9" s="24"/>
      <c r="X9" s="24"/>
      <c r="Z9" s="26">
        <v>82.174599999999998</v>
      </c>
      <c r="AA9" s="27">
        <v>3.3340999999999998</v>
      </c>
      <c r="AB9" s="28">
        <f t="shared" si="39"/>
        <v>85.508700000000005</v>
      </c>
      <c r="AC9" s="29">
        <v>3.7604000000000002</v>
      </c>
      <c r="AD9" s="24"/>
      <c r="AE9" s="28">
        <f t="shared" si="2"/>
        <v>89.269100000000009</v>
      </c>
      <c r="AF9" s="30"/>
      <c r="AG9" s="27">
        <v>0</v>
      </c>
      <c r="AH9" s="31">
        <f t="shared" si="40"/>
        <v>-2.7691000000000088</v>
      </c>
      <c r="AI9" s="28">
        <f t="shared" si="41"/>
        <v>-2.7691000000000088</v>
      </c>
      <c r="AK9" s="32">
        <f t="shared" si="3"/>
        <v>517.66828731680437</v>
      </c>
      <c r="AL9" s="32">
        <f t="shared" si="4"/>
        <v>21.003544121212119</v>
      </c>
      <c r="AM9" s="32">
        <f t="shared" si="5"/>
        <v>23.689069707988981</v>
      </c>
      <c r="AN9" s="32">
        <f t="shared" si="42"/>
        <v>0</v>
      </c>
      <c r="AO9" s="32">
        <f t="shared" si="6"/>
        <v>544.91663911845728</v>
      </c>
      <c r="AP9" s="33">
        <f t="shared" si="7"/>
        <v>0</v>
      </c>
      <c r="AQ9" s="33">
        <f t="shared" si="43"/>
        <v>0</v>
      </c>
      <c r="AS9" s="33">
        <f t="shared" si="8"/>
        <v>302.668876611418</v>
      </c>
      <c r="AT9" s="33">
        <f t="shared" si="9"/>
        <v>12.280294659300182</v>
      </c>
      <c r="AU9" s="33">
        <f t="shared" si="10"/>
        <v>13.850460405156538</v>
      </c>
      <c r="AV9" s="33">
        <f t="shared" si="44"/>
        <v>0</v>
      </c>
      <c r="AW9" s="33">
        <f t="shared" si="11"/>
        <v>328.79963167587471</v>
      </c>
      <c r="AX9" s="33">
        <f t="shared" si="12"/>
        <v>318.60036832412521</v>
      </c>
      <c r="AY9" s="33">
        <f t="shared" si="45"/>
        <v>0</v>
      </c>
      <c r="AZ9" s="33">
        <f t="shared" si="46"/>
        <v>0</v>
      </c>
      <c r="BB9" s="32">
        <f t="shared" si="13"/>
        <v>1906.6971908537912</v>
      </c>
      <c r="BC9" s="32">
        <f t="shared" si="14"/>
        <v>77.361120151794168</v>
      </c>
      <c r="BD9" s="32">
        <f t="shared" si="15"/>
        <v>87.252558777123312</v>
      </c>
      <c r="BE9" s="32">
        <f t="shared" si="16"/>
        <v>2007.0594442668776</v>
      </c>
      <c r="BF9" s="32">
        <f t="shared" si="47"/>
        <v>0</v>
      </c>
      <c r="BG9" s="32">
        <f t="shared" si="48"/>
        <v>2071.3108697827088</v>
      </c>
      <c r="BH9" s="32">
        <f t="shared" si="17"/>
        <v>0</v>
      </c>
      <c r="BI9" s="32">
        <f t="shared" si="49"/>
        <v>0</v>
      </c>
      <c r="BJ9" s="32">
        <f t="shared" si="55"/>
        <v>-64.251425515831215</v>
      </c>
      <c r="BK9" s="32"/>
      <c r="BM9" s="32">
        <v>24.440300000000001</v>
      </c>
      <c r="BN9" s="32">
        <v>0.20930000000000001</v>
      </c>
      <c r="BO9" s="32">
        <v>50.658999999999999</v>
      </c>
      <c r="BP9" s="34">
        <f t="shared" si="18"/>
        <v>161.80860000000001</v>
      </c>
      <c r="BQ9" s="34">
        <f t="shared" si="51"/>
        <v>106.61490000000001</v>
      </c>
      <c r="BR9" s="34">
        <f t="shared" si="51"/>
        <v>3.5433999999999997</v>
      </c>
      <c r="BS9" s="34">
        <f t="shared" si="52"/>
        <v>54.419399999999996</v>
      </c>
      <c r="BU9" s="34">
        <f t="shared" si="19"/>
        <v>153.96446398898073</v>
      </c>
      <c r="BV9" s="34">
        <f t="shared" si="20"/>
        <v>1.3185092782369148</v>
      </c>
      <c r="BW9" s="35">
        <f t="shared" si="21"/>
        <v>319.13216209366391</v>
      </c>
      <c r="BX9" s="34">
        <f t="shared" si="50"/>
        <v>0</v>
      </c>
      <c r="BY9" s="34">
        <f t="shared" si="22"/>
        <v>1019.3317744793389</v>
      </c>
      <c r="CA9" s="34">
        <f t="shared" si="23"/>
        <v>567.08826515278349</v>
      </c>
      <c r="CB9" s="35">
        <f t="shared" si="24"/>
        <v>4.8563877651451737</v>
      </c>
      <c r="CC9" s="34">
        <f t="shared" si="25"/>
        <v>1175.4407443597197</v>
      </c>
      <c r="CD9" s="34">
        <f t="shared" si="26"/>
        <v>0</v>
      </c>
      <c r="CE9" s="34">
        <f t="shared" si="27"/>
        <v>3754.4448415445263</v>
      </c>
      <c r="CG9" s="34">
        <f t="shared" si="28"/>
        <v>2473.7854560065748</v>
      </c>
      <c r="CH9" s="34">
        <f t="shared" si="28"/>
        <v>82.21750791693934</v>
      </c>
      <c r="CI9" s="34">
        <f t="shared" si="28"/>
        <v>1262.693303136843</v>
      </c>
      <c r="CJ9" s="34">
        <f t="shared" si="29"/>
        <v>0</v>
      </c>
      <c r="CK9" s="34">
        <f t="shared" si="30"/>
        <v>3754.4448415445263</v>
      </c>
      <c r="CL9" s="34">
        <f t="shared" si="31"/>
        <v>3818.6962670603571</v>
      </c>
      <c r="CM9" s="34">
        <f t="shared" si="32"/>
        <v>1747.3853972776483</v>
      </c>
      <c r="CO9" s="34">
        <f t="shared" si="33"/>
        <v>595.98011049723755</v>
      </c>
      <c r="CP9" s="34">
        <f t="shared" si="34"/>
        <v>595.98011049723755</v>
      </c>
      <c r="CQ9" s="34">
        <f t="shared" si="35"/>
        <v>0</v>
      </c>
      <c r="CR9" s="34">
        <f t="shared" si="36"/>
        <v>277.37974217311233</v>
      </c>
      <c r="CS9" s="34">
        <f t="shared" si="37"/>
        <v>328.79963167587471</v>
      </c>
    </row>
    <row r="10" spans="1:97" x14ac:dyDescent="0.25">
      <c r="A10" s="14" t="s">
        <v>96</v>
      </c>
      <c r="B10" t="s">
        <v>97</v>
      </c>
      <c r="C10" s="15">
        <v>277900</v>
      </c>
      <c r="D10" s="36">
        <v>37.200000000000003</v>
      </c>
      <c r="E10" s="17">
        <f t="shared" si="56"/>
        <v>2.4793388429752206E-2</v>
      </c>
      <c r="F10" s="37">
        <f t="shared" si="53"/>
        <v>6.1472043010752682</v>
      </c>
      <c r="G10" s="18"/>
      <c r="H10" s="19"/>
      <c r="I10" s="19"/>
      <c r="J10" s="20">
        <v>0.5</v>
      </c>
      <c r="K10" s="19"/>
      <c r="L10" s="19"/>
      <c r="M10" s="19">
        <v>9.6</v>
      </c>
      <c r="N10" s="19">
        <v>11.4</v>
      </c>
      <c r="O10" s="19"/>
      <c r="P10" s="21">
        <f t="shared" si="0"/>
        <v>21.5</v>
      </c>
      <c r="Q10" s="20">
        <f t="shared" si="54"/>
        <v>145.5</v>
      </c>
      <c r="R10" s="20">
        <v>65.099999999999994</v>
      </c>
      <c r="S10" s="20"/>
      <c r="T10" s="22">
        <f t="shared" si="38"/>
        <v>86.6</v>
      </c>
      <c r="U10" s="23">
        <f t="shared" si="1"/>
        <v>0.24826789838337185</v>
      </c>
      <c r="V10" s="24"/>
      <c r="W10" s="24"/>
      <c r="X10" s="24"/>
      <c r="Z10" s="26">
        <v>90.984899999999996</v>
      </c>
      <c r="AA10" s="27">
        <v>4.0669000000000004</v>
      </c>
      <c r="AB10" s="28">
        <f t="shared" si="39"/>
        <v>95.0518</v>
      </c>
      <c r="AC10" s="29">
        <v>1.4161999999999999</v>
      </c>
      <c r="AD10" s="24"/>
      <c r="AE10" s="28">
        <f t="shared" si="2"/>
        <v>96.468000000000004</v>
      </c>
      <c r="AF10" s="30"/>
      <c r="AG10" s="27">
        <v>0</v>
      </c>
      <c r="AH10" s="31">
        <f t="shared" si="40"/>
        <v>-9.8680000000000092</v>
      </c>
      <c r="AI10" s="28">
        <f t="shared" si="41"/>
        <v>-9.8680000000000092</v>
      </c>
      <c r="AK10" s="32">
        <f t="shared" si="3"/>
        <v>559.30276861290315</v>
      </c>
      <c r="AL10" s="32">
        <f t="shared" si="4"/>
        <v>25.000065172043012</v>
      </c>
      <c r="AM10" s="32">
        <f t="shared" si="5"/>
        <v>8.7056707311827939</v>
      </c>
      <c r="AN10" s="32">
        <f t="shared" si="42"/>
        <v>0</v>
      </c>
      <c r="AO10" s="32">
        <f t="shared" si="6"/>
        <v>532.34789247311824</v>
      </c>
      <c r="AP10" s="33">
        <f t="shared" si="7"/>
        <v>0</v>
      </c>
      <c r="AQ10" s="33">
        <f t="shared" si="43"/>
        <v>0</v>
      </c>
      <c r="AS10" s="33">
        <f t="shared" si="8"/>
        <v>327.40158330334651</v>
      </c>
      <c r="AT10" s="33">
        <f t="shared" si="9"/>
        <v>14.63440086362001</v>
      </c>
      <c r="AU10" s="33">
        <f t="shared" si="10"/>
        <v>5.0960777258006473</v>
      </c>
      <c r="AV10" s="33">
        <f t="shared" si="44"/>
        <v>0</v>
      </c>
      <c r="AW10" s="33">
        <f t="shared" si="11"/>
        <v>347.13206189276713</v>
      </c>
      <c r="AX10" s="33">
        <f t="shared" si="12"/>
        <v>311.62288593019071</v>
      </c>
      <c r="AY10" s="33">
        <f t="shared" si="45"/>
        <v>0</v>
      </c>
      <c r="AZ10" s="33">
        <f t="shared" si="46"/>
        <v>0</v>
      </c>
      <c r="BB10" s="32">
        <f t="shared" si="13"/>
        <v>2012.6044210611847</v>
      </c>
      <c r="BC10" s="32">
        <f t="shared" si="14"/>
        <v>89.960651932504547</v>
      </c>
      <c r="BD10" s="32">
        <f t="shared" si="15"/>
        <v>31.326630914655613</v>
      </c>
      <c r="BE10" s="32">
        <f t="shared" si="16"/>
        <v>1915.6095447035561</v>
      </c>
      <c r="BF10" s="32">
        <f t="shared" si="47"/>
        <v>0</v>
      </c>
      <c r="BG10" s="32">
        <f t="shared" si="48"/>
        <v>2133.8917039083449</v>
      </c>
      <c r="BH10" s="32">
        <f t="shared" si="17"/>
        <v>0</v>
      </c>
      <c r="BI10" s="32">
        <f t="shared" si="49"/>
        <v>0</v>
      </c>
      <c r="BJ10" s="32">
        <f t="shared" si="55"/>
        <v>-218.28215920478874</v>
      </c>
      <c r="BK10" s="32"/>
      <c r="BM10" s="32">
        <v>28.1555</v>
      </c>
      <c r="BN10" s="32">
        <v>0.23899999999999999</v>
      </c>
      <c r="BO10" s="32">
        <v>53.993000000000002</v>
      </c>
      <c r="BP10" s="34">
        <f t="shared" si="18"/>
        <v>168.98750000000001</v>
      </c>
      <c r="BQ10" s="34">
        <f t="shared" si="51"/>
        <v>119.1404</v>
      </c>
      <c r="BR10" s="34">
        <f t="shared" si="51"/>
        <v>4.3059000000000003</v>
      </c>
      <c r="BS10" s="34">
        <f t="shared" si="52"/>
        <v>55.409199999999998</v>
      </c>
      <c r="BU10" s="34">
        <f t="shared" si="19"/>
        <v>173.0776106989247</v>
      </c>
      <c r="BV10" s="34">
        <f t="shared" si="20"/>
        <v>1.469181827956989</v>
      </c>
      <c r="BW10" s="35">
        <f t="shared" si="21"/>
        <v>331.90600182795697</v>
      </c>
      <c r="BX10" s="34">
        <f t="shared" si="50"/>
        <v>0</v>
      </c>
      <c r="BY10" s="34">
        <f t="shared" si="22"/>
        <v>1038.800686827957</v>
      </c>
      <c r="CA10" s="34">
        <f t="shared" si="23"/>
        <v>622.80536415590041</v>
      </c>
      <c r="CB10" s="35">
        <f t="shared" si="24"/>
        <v>5.2867284201402995</v>
      </c>
      <c r="CC10" s="34">
        <f t="shared" si="25"/>
        <v>1194.3360986972184</v>
      </c>
      <c r="CD10" s="34">
        <f t="shared" si="26"/>
        <v>0</v>
      </c>
      <c r="CE10" s="34">
        <f t="shared" si="27"/>
        <v>3738.0377359768154</v>
      </c>
      <c r="CG10" s="34">
        <f t="shared" si="28"/>
        <v>2635.4097852170853</v>
      </c>
      <c r="CH10" s="34">
        <f t="shared" si="28"/>
        <v>95.247380352644853</v>
      </c>
      <c r="CI10" s="34">
        <f t="shared" si="28"/>
        <v>1225.6627296118741</v>
      </c>
      <c r="CJ10" s="34">
        <f t="shared" si="29"/>
        <v>0</v>
      </c>
      <c r="CK10" s="34">
        <f t="shared" si="30"/>
        <v>3738.0377359768154</v>
      </c>
      <c r="CL10" s="34">
        <f t="shared" si="31"/>
        <v>3956.3198951816044</v>
      </c>
      <c r="CM10" s="34">
        <f t="shared" si="32"/>
        <v>1822.4281912732595</v>
      </c>
      <c r="CO10" s="34">
        <f t="shared" si="33"/>
        <v>608.08744152572876</v>
      </c>
      <c r="CP10" s="34">
        <f t="shared" si="34"/>
        <v>608.08744152572876</v>
      </c>
      <c r="CQ10" s="34">
        <f t="shared" si="35"/>
        <v>0</v>
      </c>
      <c r="CR10" s="34">
        <f t="shared" si="36"/>
        <v>296.46455559553806</v>
      </c>
      <c r="CS10" s="34">
        <f t="shared" si="37"/>
        <v>347.13206189276724</v>
      </c>
    </row>
    <row r="11" spans="1:97" x14ac:dyDescent="0.25">
      <c r="A11" s="14" t="s">
        <v>98</v>
      </c>
      <c r="B11" t="s">
        <v>97</v>
      </c>
      <c r="C11" s="15">
        <v>284900</v>
      </c>
      <c r="D11" s="36">
        <v>38.1</v>
      </c>
      <c r="E11" s="17">
        <f t="shared" si="56"/>
        <v>2.4193548387096753E-2</v>
      </c>
      <c r="F11" s="37">
        <f t="shared" si="53"/>
        <v>6.0019947506561673</v>
      </c>
      <c r="G11" s="18"/>
      <c r="H11" s="19"/>
      <c r="I11" s="19">
        <v>0.1</v>
      </c>
      <c r="J11" s="20">
        <v>10.199999999999999</v>
      </c>
      <c r="K11" s="19"/>
      <c r="L11" s="19"/>
      <c r="M11" s="19">
        <v>17</v>
      </c>
      <c r="N11" s="19">
        <v>24.7</v>
      </c>
      <c r="O11" s="19"/>
      <c r="P11" s="21">
        <f t="shared" si="0"/>
        <v>52</v>
      </c>
      <c r="Q11" s="20">
        <f t="shared" si="54"/>
        <v>197.5</v>
      </c>
      <c r="R11" s="20">
        <v>60.7</v>
      </c>
      <c r="S11" s="20"/>
      <c r="T11" s="22">
        <f t="shared" si="38"/>
        <v>112.7</v>
      </c>
      <c r="U11" s="23">
        <f t="shared" si="1"/>
        <v>0.46140195208518187</v>
      </c>
      <c r="V11" s="24"/>
      <c r="W11" s="24"/>
      <c r="X11" s="24"/>
      <c r="Z11" s="26">
        <v>99.561000000000007</v>
      </c>
      <c r="AA11" s="27">
        <v>4.5080999999999998</v>
      </c>
      <c r="AB11" s="28">
        <f t="shared" si="39"/>
        <v>104.06910000000001</v>
      </c>
      <c r="AC11" s="29">
        <v>2.0051000000000001</v>
      </c>
      <c r="AD11" s="24"/>
      <c r="AE11" s="28">
        <f t="shared" si="2"/>
        <v>106.0742</v>
      </c>
      <c r="AF11" s="30"/>
      <c r="AG11" s="27">
        <v>0</v>
      </c>
      <c r="AH11" s="31">
        <f t="shared" si="40"/>
        <v>6.6257999999999981</v>
      </c>
      <c r="AI11" s="28">
        <f t="shared" si="41"/>
        <v>6.6257999999999981</v>
      </c>
      <c r="AK11" s="32">
        <f t="shared" si="3"/>
        <v>597.56459937007867</v>
      </c>
      <c r="AL11" s="32">
        <f t="shared" si="4"/>
        <v>27.057592535433066</v>
      </c>
      <c r="AM11" s="32">
        <f t="shared" si="5"/>
        <v>12.034599674540681</v>
      </c>
      <c r="AN11" s="32">
        <f t="shared" si="42"/>
        <v>0</v>
      </c>
      <c r="AO11" s="32">
        <f t="shared" si="6"/>
        <v>676.42480839895006</v>
      </c>
      <c r="AP11" s="33">
        <f t="shared" si="7"/>
        <v>0</v>
      </c>
      <c r="AQ11" s="33">
        <f t="shared" si="43"/>
        <v>0</v>
      </c>
      <c r="AS11" s="33">
        <f t="shared" si="8"/>
        <v>349.45945945945948</v>
      </c>
      <c r="AT11" s="33">
        <f t="shared" si="9"/>
        <v>15.823446823446824</v>
      </c>
      <c r="AU11" s="33">
        <f t="shared" si="10"/>
        <v>7.0379080379080383</v>
      </c>
      <c r="AV11" s="33">
        <f t="shared" si="44"/>
        <v>0</v>
      </c>
      <c r="AW11" s="33">
        <f t="shared" si="11"/>
        <v>372.32081432081435</v>
      </c>
      <c r="AX11" s="33">
        <f t="shared" si="12"/>
        <v>395.57739557739558</v>
      </c>
      <c r="AY11" s="33">
        <f t="shared" si="45"/>
        <v>0</v>
      </c>
      <c r="AZ11" s="33">
        <f t="shared" si="46"/>
        <v>0</v>
      </c>
      <c r="BB11" s="32">
        <f t="shared" si="13"/>
        <v>2097.4538412428174</v>
      </c>
      <c r="BC11" s="32">
        <f t="shared" si="14"/>
        <v>94.972244771614839</v>
      </c>
      <c r="BD11" s="32">
        <f t="shared" si="15"/>
        <v>42.241487099124889</v>
      </c>
      <c r="BE11" s="32">
        <f t="shared" si="16"/>
        <v>2374.2534517337667</v>
      </c>
      <c r="BF11" s="32">
        <f t="shared" si="47"/>
        <v>0</v>
      </c>
      <c r="BG11" s="32">
        <f t="shared" si="48"/>
        <v>2234.667573113557</v>
      </c>
      <c r="BH11" s="32">
        <f t="shared" si="17"/>
        <v>0</v>
      </c>
      <c r="BI11" s="32">
        <f t="shared" si="49"/>
        <v>0</v>
      </c>
      <c r="BJ11" s="32">
        <f t="shared" si="55"/>
        <v>139.58587862020977</v>
      </c>
      <c r="BK11" s="32"/>
      <c r="BM11" s="32">
        <v>32.108600000000003</v>
      </c>
      <c r="BN11" s="32">
        <v>0.25590000000000002</v>
      </c>
      <c r="BO11" s="32">
        <v>102.0574</v>
      </c>
      <c r="BP11" s="34">
        <f t="shared" si="18"/>
        <v>247.12189999999998</v>
      </c>
      <c r="BQ11" s="34">
        <f t="shared" si="51"/>
        <v>131.6696</v>
      </c>
      <c r="BR11" s="34">
        <f t="shared" si="51"/>
        <v>4.7639999999999993</v>
      </c>
      <c r="BS11" s="34">
        <f t="shared" si="52"/>
        <v>104.0625</v>
      </c>
      <c r="BU11" s="34">
        <f t="shared" si="19"/>
        <v>192.71564865091864</v>
      </c>
      <c r="BV11" s="34">
        <f t="shared" si="20"/>
        <v>1.5359104566929134</v>
      </c>
      <c r="BW11" s="35">
        <f t="shared" si="21"/>
        <v>612.54797906561669</v>
      </c>
      <c r="BX11" s="34">
        <f t="shared" si="50"/>
        <v>0</v>
      </c>
      <c r="BY11" s="34">
        <f t="shared" si="22"/>
        <v>1483.2243465721781</v>
      </c>
      <c r="CA11" s="34">
        <f t="shared" si="23"/>
        <v>676.43260319732769</v>
      </c>
      <c r="CB11" s="35">
        <f t="shared" si="24"/>
        <v>5.3910510940432204</v>
      </c>
      <c r="CC11" s="34">
        <f t="shared" si="25"/>
        <v>2150.0455565658713</v>
      </c>
      <c r="CD11" s="34">
        <f t="shared" si="26"/>
        <v>0</v>
      </c>
      <c r="CE11" s="34">
        <f t="shared" si="27"/>
        <v>5206.1226625910076</v>
      </c>
      <c r="CG11" s="34">
        <f t="shared" si="28"/>
        <v>2773.8864444401452</v>
      </c>
      <c r="CH11" s="34">
        <f t="shared" si="28"/>
        <v>100.36329586565806</v>
      </c>
      <c r="CI11" s="34">
        <f t="shared" si="28"/>
        <v>2192.287043664996</v>
      </c>
      <c r="CJ11" s="34">
        <f t="shared" si="29"/>
        <v>0</v>
      </c>
      <c r="CK11" s="34">
        <f t="shared" si="30"/>
        <v>5206.1226625910076</v>
      </c>
      <c r="CL11" s="34">
        <f t="shared" si="31"/>
        <v>5066.5367839707997</v>
      </c>
      <c r="CM11" s="34">
        <f t="shared" si="32"/>
        <v>2831.8692108572427</v>
      </c>
      <c r="CO11" s="34">
        <f t="shared" si="33"/>
        <v>867.39873639873622</v>
      </c>
      <c r="CP11" s="34">
        <f t="shared" si="34"/>
        <v>867.39873639873622</v>
      </c>
      <c r="CQ11" s="34">
        <f t="shared" si="35"/>
        <v>0</v>
      </c>
      <c r="CR11" s="34">
        <f t="shared" si="36"/>
        <v>471.82134082134093</v>
      </c>
      <c r="CS11" s="34">
        <f t="shared" si="37"/>
        <v>372.32081432081429</v>
      </c>
    </row>
    <row r="12" spans="1:97" x14ac:dyDescent="0.25">
      <c r="A12" s="14" t="s">
        <v>99</v>
      </c>
      <c r="B12" t="s">
        <v>97</v>
      </c>
      <c r="C12" s="15">
        <v>294600</v>
      </c>
      <c r="D12" s="36">
        <v>39.6</v>
      </c>
      <c r="E12" s="17">
        <f t="shared" si="56"/>
        <v>3.937007874015741E-2</v>
      </c>
      <c r="F12" s="37">
        <f t="shared" si="53"/>
        <v>5.7746464646464641</v>
      </c>
      <c r="G12" s="18"/>
      <c r="H12" s="19"/>
      <c r="I12" s="19">
        <v>0.1</v>
      </c>
      <c r="J12" s="20">
        <v>5.6</v>
      </c>
      <c r="K12" s="19"/>
      <c r="L12" s="19"/>
      <c r="M12" s="19">
        <v>24.7</v>
      </c>
      <c r="N12" s="19">
        <v>4.0999999999999996</v>
      </c>
      <c r="O12" s="19"/>
      <c r="P12" s="21">
        <f t="shared" si="0"/>
        <v>34.5</v>
      </c>
      <c r="Q12" s="20">
        <f t="shared" si="54"/>
        <v>232</v>
      </c>
      <c r="R12" s="20">
        <v>77.900000000000006</v>
      </c>
      <c r="S12" s="20"/>
      <c r="T12" s="22">
        <f t="shared" si="38"/>
        <v>112.4</v>
      </c>
      <c r="U12" s="23">
        <f t="shared" si="1"/>
        <v>0.30693950177935941</v>
      </c>
      <c r="V12" s="24"/>
      <c r="W12" s="24"/>
      <c r="X12" s="24"/>
      <c r="Z12" s="26">
        <v>159.9418</v>
      </c>
      <c r="AA12" s="27">
        <v>6.6317000000000004</v>
      </c>
      <c r="AB12" s="28">
        <f t="shared" si="39"/>
        <v>166.5735</v>
      </c>
      <c r="AC12" s="29">
        <v>6.4226000000000001</v>
      </c>
      <c r="AD12" s="24"/>
      <c r="AE12" s="28">
        <f t="shared" si="2"/>
        <v>172.99609999999998</v>
      </c>
      <c r="AF12" s="30"/>
      <c r="AG12" s="27">
        <v>0</v>
      </c>
      <c r="AH12" s="31">
        <f t="shared" si="40"/>
        <v>-60.596099999999979</v>
      </c>
      <c r="AI12" s="28">
        <f t="shared" si="41"/>
        <v>-60.596099999999979</v>
      </c>
      <c r="AK12" s="32">
        <f t="shared" si="3"/>
        <v>923.60734991919185</v>
      </c>
      <c r="AL12" s="32">
        <f t="shared" si="4"/>
        <v>38.295722959595956</v>
      </c>
      <c r="AM12" s="32">
        <f t="shared" si="5"/>
        <v>37.088244383838379</v>
      </c>
      <c r="AN12" s="32">
        <f t="shared" si="42"/>
        <v>0</v>
      </c>
      <c r="AO12" s="32">
        <f t="shared" si="6"/>
        <v>649.07026262626255</v>
      </c>
      <c r="AP12" s="33">
        <f t="shared" si="7"/>
        <v>0</v>
      </c>
      <c r="AQ12" s="33">
        <f t="shared" si="43"/>
        <v>0</v>
      </c>
      <c r="AS12" s="33">
        <f t="shared" si="8"/>
        <v>542.91174473862873</v>
      </c>
      <c r="AT12" s="33">
        <f t="shared" si="9"/>
        <v>22.51086218601494</v>
      </c>
      <c r="AU12" s="33">
        <f t="shared" si="10"/>
        <v>21.801086218601498</v>
      </c>
      <c r="AV12" s="33">
        <f t="shared" si="44"/>
        <v>0</v>
      </c>
      <c r="AW12" s="33">
        <f t="shared" si="11"/>
        <v>587.22369314324521</v>
      </c>
      <c r="AX12" s="33">
        <f t="shared" si="12"/>
        <v>381.53428377460972</v>
      </c>
      <c r="AY12" s="33">
        <f t="shared" si="45"/>
        <v>0</v>
      </c>
      <c r="AZ12" s="33">
        <f t="shared" si="46"/>
        <v>0</v>
      </c>
      <c r="BB12" s="32">
        <f t="shared" si="13"/>
        <v>3135.1233873699657</v>
      </c>
      <c r="BC12" s="32">
        <f t="shared" si="14"/>
        <v>129.99227073861493</v>
      </c>
      <c r="BD12" s="32">
        <f t="shared" si="15"/>
        <v>125.89356545769988</v>
      </c>
      <c r="BE12" s="32">
        <f t="shared" si="16"/>
        <v>2203.2256029404707</v>
      </c>
      <c r="BF12" s="32">
        <f t="shared" si="47"/>
        <v>0</v>
      </c>
      <c r="BG12" s="32">
        <f t="shared" si="48"/>
        <v>3391.0092235662805</v>
      </c>
      <c r="BH12" s="32">
        <f t="shared" si="17"/>
        <v>0</v>
      </c>
      <c r="BI12" s="32">
        <f t="shared" si="49"/>
        <v>0</v>
      </c>
      <c r="BJ12" s="32">
        <f t="shared" si="55"/>
        <v>-1187.7836206258098</v>
      </c>
      <c r="BK12" s="32"/>
      <c r="BM12" s="32">
        <v>37.730800000000002</v>
      </c>
      <c r="BN12" s="32">
        <v>0.24249999999999999</v>
      </c>
      <c r="BO12" s="32">
        <v>63.234699999999997</v>
      </c>
      <c r="BP12" s="34">
        <f t="shared" si="18"/>
        <v>213.608</v>
      </c>
      <c r="BQ12" s="34">
        <f t="shared" si="51"/>
        <v>197.67259999999999</v>
      </c>
      <c r="BR12" s="34">
        <f t="shared" si="51"/>
        <v>6.8742000000000001</v>
      </c>
      <c r="BS12" s="34">
        <f t="shared" si="52"/>
        <v>69.657299999999992</v>
      </c>
      <c r="BU12" s="34">
        <f t="shared" si="19"/>
        <v>217.88203082828281</v>
      </c>
      <c r="BV12" s="34">
        <f t="shared" si="20"/>
        <v>1.4003517676767676</v>
      </c>
      <c r="BW12" s="35">
        <f t="shared" si="21"/>
        <v>365.15803679797972</v>
      </c>
      <c r="BX12" s="34">
        <f t="shared" si="50"/>
        <v>0</v>
      </c>
      <c r="BY12" s="34">
        <f t="shared" si="22"/>
        <v>1233.510682020202</v>
      </c>
      <c r="CA12" s="34">
        <f t="shared" si="23"/>
        <v>739.5859838027252</v>
      </c>
      <c r="CB12" s="35">
        <f t="shared" si="24"/>
        <v>4.75340043339025</v>
      </c>
      <c r="CC12" s="34">
        <f t="shared" si="25"/>
        <v>1239.5045376713501</v>
      </c>
      <c r="CD12" s="34">
        <f t="shared" si="26"/>
        <v>0</v>
      </c>
      <c r="CE12" s="34">
        <f t="shared" si="27"/>
        <v>4187.0695248479369</v>
      </c>
      <c r="CG12" s="34">
        <f t="shared" si="28"/>
        <v>3874.7093711726911</v>
      </c>
      <c r="CH12" s="34">
        <f t="shared" si="28"/>
        <v>134.74567117200519</v>
      </c>
      <c r="CI12" s="34">
        <f t="shared" si="28"/>
        <v>1365.39810312905</v>
      </c>
      <c r="CJ12" s="34">
        <f t="shared" si="29"/>
        <v>0</v>
      </c>
      <c r="CK12" s="34">
        <f t="shared" si="30"/>
        <v>4187.0695248479369</v>
      </c>
      <c r="CL12" s="34">
        <f t="shared" si="31"/>
        <v>5374.8531454737458</v>
      </c>
      <c r="CM12" s="34">
        <f t="shared" si="32"/>
        <v>1983.8439219074653</v>
      </c>
      <c r="CO12" s="34">
        <f t="shared" si="33"/>
        <v>725.07807196198257</v>
      </c>
      <c r="CP12" s="34">
        <f t="shared" si="34"/>
        <v>725.07807196198257</v>
      </c>
      <c r="CQ12" s="34">
        <f t="shared" si="35"/>
        <v>0</v>
      </c>
      <c r="CR12" s="34">
        <f t="shared" si="36"/>
        <v>343.54378818737268</v>
      </c>
      <c r="CS12" s="34">
        <f t="shared" si="37"/>
        <v>587.2236931432451</v>
      </c>
    </row>
    <row r="13" spans="1:97" x14ac:dyDescent="0.25">
      <c r="A13" s="14" t="s">
        <v>100</v>
      </c>
      <c r="B13" t="s">
        <v>97</v>
      </c>
      <c r="C13" s="15">
        <v>308500</v>
      </c>
      <c r="D13" s="36">
        <v>41.1</v>
      </c>
      <c r="E13" s="17">
        <f t="shared" si="56"/>
        <v>3.7878787878787845E-2</v>
      </c>
      <c r="F13" s="37">
        <f t="shared" si="53"/>
        <v>5.5638929440389289</v>
      </c>
      <c r="G13" s="18"/>
      <c r="H13" s="19"/>
      <c r="I13" s="19">
        <v>0.4</v>
      </c>
      <c r="J13" s="20">
        <v>7.9</v>
      </c>
      <c r="K13" s="19"/>
      <c r="L13" s="19"/>
      <c r="M13" s="19">
        <v>27.5</v>
      </c>
      <c r="N13" s="19">
        <v>903.1</v>
      </c>
      <c r="O13" s="19"/>
      <c r="P13" s="21">
        <f t="shared" si="0"/>
        <v>938.9</v>
      </c>
      <c r="Q13" s="20">
        <f t="shared" si="54"/>
        <v>1170.9000000000001</v>
      </c>
      <c r="R13" s="20">
        <v>128.4</v>
      </c>
      <c r="S13" s="20"/>
      <c r="T13" s="22">
        <f t="shared" si="38"/>
        <v>1067.3</v>
      </c>
      <c r="U13" s="23">
        <f t="shared" si="1"/>
        <v>0.87969643024454236</v>
      </c>
      <c r="V13" s="24"/>
      <c r="W13" s="24"/>
      <c r="X13" s="24"/>
      <c r="Z13" s="26">
        <v>158.2713</v>
      </c>
      <c r="AA13" s="27">
        <v>9.0327000000000002</v>
      </c>
      <c r="AB13" s="28">
        <f t="shared" si="39"/>
        <v>167.304</v>
      </c>
      <c r="AC13" s="29">
        <v>131.2191</v>
      </c>
      <c r="AD13" s="24"/>
      <c r="AE13" s="28">
        <f t="shared" si="2"/>
        <v>298.5231</v>
      </c>
      <c r="AF13" s="30"/>
      <c r="AG13" s="31">
        <v>0.5</v>
      </c>
      <c r="AH13" s="31">
        <f t="shared" si="40"/>
        <v>768.27689999999996</v>
      </c>
      <c r="AI13" s="28">
        <f t="shared" si="41"/>
        <v>768.77689999999996</v>
      </c>
      <c r="AK13" s="32">
        <f t="shared" si="3"/>
        <v>880.60456931386852</v>
      </c>
      <c r="AL13" s="32">
        <f t="shared" si="4"/>
        <v>50.256975795620434</v>
      </c>
      <c r="AM13" s="32">
        <f t="shared" si="5"/>
        <v>730.08902461313858</v>
      </c>
      <c r="AN13" s="32">
        <f t="shared" si="42"/>
        <v>0</v>
      </c>
      <c r="AO13" s="32">
        <f t="shared" si="6"/>
        <v>5938.3429391727486</v>
      </c>
      <c r="AP13" s="33">
        <f t="shared" si="7"/>
        <v>0</v>
      </c>
      <c r="AQ13" s="33">
        <f t="shared" si="43"/>
        <v>0</v>
      </c>
      <c r="AS13" s="33">
        <f t="shared" si="8"/>
        <v>513.03500810372771</v>
      </c>
      <c r="AT13" s="33">
        <f t="shared" si="9"/>
        <v>29.279416531604539</v>
      </c>
      <c r="AU13" s="33">
        <f t="shared" si="10"/>
        <v>425.34554294975686</v>
      </c>
      <c r="AV13" s="33">
        <f t="shared" si="44"/>
        <v>0</v>
      </c>
      <c r="AW13" s="33">
        <f t="shared" si="11"/>
        <v>967.65996758508913</v>
      </c>
      <c r="AX13" s="33">
        <f t="shared" si="12"/>
        <v>3459.6434359805507</v>
      </c>
      <c r="AY13" s="33">
        <f t="shared" si="45"/>
        <v>0</v>
      </c>
      <c r="AZ13" s="33">
        <f t="shared" si="46"/>
        <v>0</v>
      </c>
      <c r="BB13" s="32">
        <f t="shared" si="13"/>
        <v>2854.4718616332852</v>
      </c>
      <c r="BC13" s="32">
        <f t="shared" si="14"/>
        <v>162.90753904577127</v>
      </c>
      <c r="BD13" s="32">
        <f t="shared" si="15"/>
        <v>2366.5770651965595</v>
      </c>
      <c r="BE13" s="32">
        <f t="shared" si="16"/>
        <v>19249.085702342785</v>
      </c>
      <c r="BF13" s="32">
        <f t="shared" si="47"/>
        <v>0</v>
      </c>
      <c r="BG13" s="32">
        <f t="shared" si="48"/>
        <v>5383.9564658756162</v>
      </c>
      <c r="BH13" s="32">
        <f t="shared" si="17"/>
        <v>0</v>
      </c>
      <c r="BI13" s="32">
        <f t="shared" si="49"/>
        <v>0</v>
      </c>
      <c r="BJ13" s="32">
        <f t="shared" si="55"/>
        <v>13865.129236467168</v>
      </c>
      <c r="BK13" s="32"/>
      <c r="BM13" s="32">
        <v>46.714300000000001</v>
      </c>
      <c r="BN13" s="32">
        <v>0.89970000000000006</v>
      </c>
      <c r="BO13" s="32">
        <v>55.500500000000002</v>
      </c>
      <c r="BP13" s="34">
        <f t="shared" si="18"/>
        <v>1170.4144999999999</v>
      </c>
      <c r="BQ13" s="34">
        <f t="shared" si="51"/>
        <v>204.98560000000001</v>
      </c>
      <c r="BR13" s="34">
        <f t="shared" si="51"/>
        <v>9.9323999999999995</v>
      </c>
      <c r="BS13" s="34">
        <f t="shared" si="52"/>
        <v>186.71960000000001</v>
      </c>
      <c r="BU13" s="34">
        <f t="shared" si="19"/>
        <v>259.91336415571772</v>
      </c>
      <c r="BV13" s="34">
        <f t="shared" si="20"/>
        <v>5.0058344817518243</v>
      </c>
      <c r="BW13" s="35">
        <f t="shared" si="21"/>
        <v>308.79884034063258</v>
      </c>
      <c r="BX13" s="34">
        <f t="shared" si="50"/>
        <v>0</v>
      </c>
      <c r="BY13" s="34">
        <f t="shared" si="22"/>
        <v>6512.0609781508501</v>
      </c>
      <c r="CA13" s="34">
        <f t="shared" si="23"/>
        <v>842.50685301691317</v>
      </c>
      <c r="CB13" s="35">
        <f t="shared" si="24"/>
        <v>16.226367850086952</v>
      </c>
      <c r="CC13" s="34">
        <f t="shared" si="25"/>
        <v>1000.9686883002677</v>
      </c>
      <c r="CD13" s="34">
        <f t="shared" si="26"/>
        <v>0</v>
      </c>
      <c r="CE13" s="34">
        <f t="shared" si="27"/>
        <v>21108.787611510048</v>
      </c>
      <c r="CG13" s="34">
        <f t="shared" si="28"/>
        <v>3696.9787146501985</v>
      </c>
      <c r="CH13" s="34">
        <f t="shared" si="28"/>
        <v>179.13390689585822</v>
      </c>
      <c r="CI13" s="34">
        <f t="shared" si="28"/>
        <v>3367.5457534968273</v>
      </c>
      <c r="CJ13" s="34">
        <f t="shared" si="29"/>
        <v>0</v>
      </c>
      <c r="CK13" s="34">
        <f t="shared" si="30"/>
        <v>21108.787611510048</v>
      </c>
      <c r="CL13" s="34">
        <f t="shared" si="31"/>
        <v>7243.6583750428836</v>
      </c>
      <c r="CM13" s="34">
        <f t="shared" si="32"/>
        <v>1859.7019091672673</v>
      </c>
      <c r="CO13" s="34">
        <f t="shared" si="33"/>
        <v>3793.8881685575357</v>
      </c>
      <c r="CP13" s="34">
        <f t="shared" si="34"/>
        <v>3793.8881685575357</v>
      </c>
      <c r="CQ13" s="34">
        <f t="shared" si="35"/>
        <v>0</v>
      </c>
      <c r="CR13" s="34">
        <f t="shared" si="36"/>
        <v>334.24473257698531</v>
      </c>
      <c r="CS13" s="34">
        <f t="shared" si="37"/>
        <v>967.65996758508913</v>
      </c>
    </row>
    <row r="14" spans="1:97" x14ac:dyDescent="0.25">
      <c r="A14" s="14" t="s">
        <v>101</v>
      </c>
      <c r="B14" t="s">
        <v>88</v>
      </c>
      <c r="C14" s="15">
        <v>319600</v>
      </c>
      <c r="D14" s="36">
        <v>42.3</v>
      </c>
      <c r="E14" s="17">
        <f t="shared" si="56"/>
        <v>2.9197080291970767E-2</v>
      </c>
      <c r="F14" s="37">
        <f t="shared" si="53"/>
        <v>5.406052009456265</v>
      </c>
      <c r="G14" s="18"/>
      <c r="H14" s="19"/>
      <c r="I14" s="19">
        <v>0.9</v>
      </c>
      <c r="J14" s="20">
        <v>10.5</v>
      </c>
      <c r="K14" s="19"/>
      <c r="L14" s="19"/>
      <c r="M14" s="19">
        <v>32.5</v>
      </c>
      <c r="N14" s="19">
        <v>3.1</v>
      </c>
      <c r="O14" s="19"/>
      <c r="P14" s="21">
        <f t="shared" si="0"/>
        <v>47</v>
      </c>
      <c r="Q14" s="20">
        <f t="shared" si="54"/>
        <v>1217.9000000000001</v>
      </c>
      <c r="R14" s="20">
        <v>173.4</v>
      </c>
      <c r="S14" s="20"/>
      <c r="T14" s="22">
        <f t="shared" si="38"/>
        <v>220.4</v>
      </c>
      <c r="U14" s="23">
        <f t="shared" si="1"/>
        <v>0.2132486388384755</v>
      </c>
      <c r="V14" s="24"/>
      <c r="W14" s="24"/>
      <c r="X14" s="24"/>
      <c r="Z14" s="26">
        <v>255.619</v>
      </c>
      <c r="AA14" s="27">
        <v>14.78384</v>
      </c>
      <c r="AB14" s="28">
        <f t="shared" si="39"/>
        <v>270.40284000000003</v>
      </c>
      <c r="AC14" s="29">
        <v>92.574399999999997</v>
      </c>
      <c r="AD14" s="24"/>
      <c r="AE14" s="28">
        <f t="shared" si="2"/>
        <v>362.97724000000005</v>
      </c>
      <c r="AF14" s="30"/>
      <c r="AG14" s="31">
        <v>0.125</v>
      </c>
      <c r="AH14" s="31">
        <f t="shared" si="40"/>
        <v>-142.70224000000005</v>
      </c>
      <c r="AI14" s="28">
        <f t="shared" si="41"/>
        <v>-142.57724000000005</v>
      </c>
      <c r="AK14" s="32">
        <f t="shared" si="3"/>
        <v>1381.8896086052009</v>
      </c>
      <c r="AL14" s="32">
        <f t="shared" si="4"/>
        <v>79.922207939479904</v>
      </c>
      <c r="AM14" s="32">
        <f t="shared" si="5"/>
        <v>500.46202114420805</v>
      </c>
      <c r="AN14" s="32">
        <f t="shared" si="42"/>
        <v>0</v>
      </c>
      <c r="AO14" s="32">
        <f t="shared" si="6"/>
        <v>1191.4938628841608</v>
      </c>
      <c r="AP14" s="33">
        <f t="shared" si="7"/>
        <v>0</v>
      </c>
      <c r="AQ14" s="33">
        <f t="shared" si="43"/>
        <v>0</v>
      </c>
      <c r="AS14" s="33">
        <f t="shared" si="8"/>
        <v>799.80913642052565</v>
      </c>
      <c r="AT14" s="33">
        <f t="shared" si="9"/>
        <v>46.25732165206508</v>
      </c>
      <c r="AU14" s="33">
        <f t="shared" si="10"/>
        <v>289.65707133917397</v>
      </c>
      <c r="AV14" s="33">
        <f t="shared" si="44"/>
        <v>0</v>
      </c>
      <c r="AW14" s="33">
        <f t="shared" si="11"/>
        <v>1135.7235294117647</v>
      </c>
      <c r="AX14" s="33">
        <f t="shared" si="12"/>
        <v>689.61201501877349</v>
      </c>
      <c r="AY14" s="33">
        <f t="shared" si="45"/>
        <v>0</v>
      </c>
      <c r="AZ14" s="33">
        <f t="shared" si="46"/>
        <v>0</v>
      </c>
      <c r="BB14" s="32">
        <f t="shared" si="13"/>
        <v>4323.809789127663</v>
      </c>
      <c r="BC14" s="32">
        <f t="shared" si="14"/>
        <v>250.06948666921122</v>
      </c>
      <c r="BD14" s="32">
        <f t="shared" si="15"/>
        <v>1565.9011925663581</v>
      </c>
      <c r="BE14" s="32">
        <f t="shared" si="16"/>
        <v>3728.078419537424</v>
      </c>
      <c r="BF14" s="32">
        <f t="shared" si="47"/>
        <v>0</v>
      </c>
      <c r="BG14" s="32">
        <f t="shared" si="48"/>
        <v>6139.7804683632321</v>
      </c>
      <c r="BH14" s="32">
        <f t="shared" si="17"/>
        <v>0</v>
      </c>
      <c r="BI14" s="32">
        <f t="shared" si="49"/>
        <v>0</v>
      </c>
      <c r="BJ14" s="32">
        <f t="shared" si="55"/>
        <v>-2411.7020488258081</v>
      </c>
      <c r="BK14" s="32"/>
      <c r="BM14" s="32">
        <v>55.778799999999997</v>
      </c>
      <c r="BN14" s="32">
        <v>1.2643</v>
      </c>
      <c r="BO14" s="32">
        <v>79.2714</v>
      </c>
      <c r="BP14" s="34">
        <f t="shared" si="18"/>
        <v>356.71450000000004</v>
      </c>
      <c r="BQ14" s="34">
        <f t="shared" si="51"/>
        <v>311.39780000000002</v>
      </c>
      <c r="BR14" s="34">
        <f t="shared" si="51"/>
        <v>16.04814</v>
      </c>
      <c r="BS14" s="34">
        <f t="shared" si="52"/>
        <v>171.8458</v>
      </c>
      <c r="BU14" s="34">
        <f t="shared" si="19"/>
        <v>301.54309382505909</v>
      </c>
      <c r="BV14" s="34">
        <f t="shared" si="20"/>
        <v>6.8348715555555559</v>
      </c>
      <c r="BW14" s="35">
        <f t="shared" si="21"/>
        <v>428.54531126241136</v>
      </c>
      <c r="BX14" s="34">
        <f t="shared" si="50"/>
        <v>0</v>
      </c>
      <c r="BY14" s="34">
        <f t="shared" si="22"/>
        <v>1928.4171395271871</v>
      </c>
      <c r="CA14" s="34">
        <f t="shared" si="23"/>
        <v>943.50154513472808</v>
      </c>
      <c r="CB14" s="35">
        <f t="shared" si="24"/>
        <v>21.385705743290224</v>
      </c>
      <c r="CC14" s="34">
        <f t="shared" si="25"/>
        <v>1340.8801979424636</v>
      </c>
      <c r="CD14" s="34">
        <f t="shared" si="26"/>
        <v>0</v>
      </c>
      <c r="CE14" s="34">
        <f t="shared" si="27"/>
        <v>6033.8458683579074</v>
      </c>
      <c r="CG14" s="34">
        <f t="shared" si="28"/>
        <v>5267.311334262391</v>
      </c>
      <c r="CH14" s="34">
        <f t="shared" si="28"/>
        <v>271.45519241250145</v>
      </c>
      <c r="CI14" s="34">
        <f t="shared" si="28"/>
        <v>2906.7813905088215</v>
      </c>
      <c r="CJ14" s="34">
        <f t="shared" si="29"/>
        <v>0</v>
      </c>
      <c r="CK14" s="34">
        <f t="shared" si="30"/>
        <v>6033.8458683579074</v>
      </c>
      <c r="CL14" s="34">
        <f t="shared" si="31"/>
        <v>8445.5479171837142</v>
      </c>
      <c r="CM14" s="34">
        <f t="shared" si="32"/>
        <v>2305.7674488204821</v>
      </c>
      <c r="CO14" s="34">
        <f t="shared" si="33"/>
        <v>1116.1279724655822</v>
      </c>
      <c r="CP14" s="34">
        <f t="shared" si="34"/>
        <v>1116.1279724655822</v>
      </c>
      <c r="CQ14" s="34">
        <f t="shared" si="35"/>
        <v>0</v>
      </c>
      <c r="CR14" s="34">
        <f t="shared" si="36"/>
        <v>426.51595744680856</v>
      </c>
      <c r="CS14" s="34">
        <f t="shared" si="37"/>
        <v>1135.7235294117647</v>
      </c>
    </row>
    <row r="15" spans="1:97" x14ac:dyDescent="0.25">
      <c r="A15" s="14" t="s">
        <v>102</v>
      </c>
      <c r="B15" t="s">
        <v>88</v>
      </c>
      <c r="C15" s="15">
        <v>329800</v>
      </c>
      <c r="D15" s="36">
        <v>43.4</v>
      </c>
      <c r="E15" s="17">
        <f t="shared" si="56"/>
        <v>2.6004728132387633E-2</v>
      </c>
      <c r="F15" s="37">
        <f t="shared" si="53"/>
        <v>5.2690322580645157</v>
      </c>
      <c r="G15" s="18"/>
      <c r="H15" s="19"/>
      <c r="I15" s="19">
        <v>1.2</v>
      </c>
      <c r="J15" s="20">
        <v>11.4</v>
      </c>
      <c r="K15" s="19"/>
      <c r="L15" s="19"/>
      <c r="M15" s="19">
        <v>32.5</v>
      </c>
      <c r="N15" s="19">
        <v>3.3</v>
      </c>
      <c r="O15" s="19"/>
      <c r="P15" s="21">
        <f t="shared" si="0"/>
        <v>48.4</v>
      </c>
      <c r="Q15" s="20">
        <f t="shared" si="54"/>
        <v>1266.3000000000002</v>
      </c>
      <c r="R15" s="20">
        <v>170.8</v>
      </c>
      <c r="S15" s="20"/>
      <c r="T15" s="22">
        <f t="shared" si="38"/>
        <v>219.20000000000002</v>
      </c>
      <c r="U15" s="23">
        <f t="shared" si="1"/>
        <v>0.22080291970802918</v>
      </c>
      <c r="V15" s="24"/>
      <c r="W15" s="24"/>
      <c r="X15" s="24"/>
      <c r="Z15" s="26">
        <v>278.98239999999998</v>
      </c>
      <c r="AA15" s="27">
        <v>20.523</v>
      </c>
      <c r="AB15" s="28">
        <f t="shared" si="39"/>
        <v>299.50540000000001</v>
      </c>
      <c r="AC15" s="29">
        <v>15.426</v>
      </c>
      <c r="AD15" s="24"/>
      <c r="AE15" s="28">
        <f t="shared" si="2"/>
        <v>314.9314</v>
      </c>
      <c r="AF15" s="30"/>
      <c r="AG15" s="31">
        <v>0.13539999999999999</v>
      </c>
      <c r="AH15" s="31">
        <f t="shared" si="40"/>
        <v>-95.866799999999984</v>
      </c>
      <c r="AI15" s="28">
        <f t="shared" si="41"/>
        <v>-95.731399999999979</v>
      </c>
      <c r="AK15" s="32">
        <f t="shared" si="3"/>
        <v>1469.967265032258</v>
      </c>
      <c r="AL15" s="32">
        <f t="shared" si="4"/>
        <v>108.13634903225805</v>
      </c>
      <c r="AM15" s="32">
        <f t="shared" si="5"/>
        <v>81.28009161290322</v>
      </c>
      <c r="AN15" s="32">
        <f t="shared" si="42"/>
        <v>0</v>
      </c>
      <c r="AO15" s="32">
        <f t="shared" si="6"/>
        <v>1154.971870967742</v>
      </c>
      <c r="AP15" s="33">
        <f t="shared" si="7"/>
        <v>0</v>
      </c>
      <c r="AQ15" s="33">
        <f t="shared" si="43"/>
        <v>0</v>
      </c>
      <c r="AS15" s="33">
        <f t="shared" si="8"/>
        <v>845.91388720436623</v>
      </c>
      <c r="AT15" s="33">
        <f t="shared" si="9"/>
        <v>62.22862340812614</v>
      </c>
      <c r="AU15" s="33">
        <f t="shared" si="10"/>
        <v>46.77380230442693</v>
      </c>
      <c r="AV15" s="33">
        <f t="shared" si="44"/>
        <v>0</v>
      </c>
      <c r="AW15" s="33">
        <f t="shared" si="11"/>
        <v>954.91631291691931</v>
      </c>
      <c r="AX15" s="33">
        <f t="shared" si="12"/>
        <v>664.64523953911475</v>
      </c>
      <c r="AY15" s="33">
        <f t="shared" si="45"/>
        <v>0</v>
      </c>
      <c r="AZ15" s="33">
        <f t="shared" si="46"/>
        <v>0</v>
      </c>
      <c r="BB15" s="32">
        <f t="shared" si="13"/>
        <v>4457.1475592245542</v>
      </c>
      <c r="BC15" s="32">
        <f t="shared" si="14"/>
        <v>327.88462411236526</v>
      </c>
      <c r="BD15" s="32">
        <f t="shared" si="15"/>
        <v>246.45267317435787</v>
      </c>
      <c r="BE15" s="32">
        <f t="shared" si="16"/>
        <v>3502.0372073006129</v>
      </c>
      <c r="BF15" s="32">
        <f t="shared" si="47"/>
        <v>0</v>
      </c>
      <c r="BG15" s="32">
        <f t="shared" si="48"/>
        <v>5031.4848565112779</v>
      </c>
      <c r="BH15" s="32">
        <f t="shared" si="17"/>
        <v>0</v>
      </c>
      <c r="BI15" s="32">
        <f t="shared" si="49"/>
        <v>0</v>
      </c>
      <c r="BJ15" s="32">
        <f t="shared" si="55"/>
        <v>-1529.4476492106651</v>
      </c>
      <c r="BK15" s="32"/>
      <c r="BM15" s="32">
        <v>63.335799999999999</v>
      </c>
      <c r="BN15" s="32">
        <v>2.097</v>
      </c>
      <c r="BO15" s="32">
        <v>114.4174</v>
      </c>
      <c r="BP15" s="34">
        <f t="shared" si="18"/>
        <v>399.05020000000002</v>
      </c>
      <c r="BQ15" s="34">
        <f t="shared" si="51"/>
        <v>342.31819999999999</v>
      </c>
      <c r="BR15" s="34">
        <f t="shared" si="51"/>
        <v>22.62</v>
      </c>
      <c r="BS15" s="34">
        <f t="shared" si="52"/>
        <v>129.8434</v>
      </c>
      <c r="BU15" s="34">
        <f t="shared" si="19"/>
        <v>333.71837329032257</v>
      </c>
      <c r="BV15" s="34">
        <f t="shared" si="20"/>
        <v>11.049160645161288</v>
      </c>
      <c r="BW15" s="35">
        <f t="shared" si="21"/>
        <v>602.86897148387095</v>
      </c>
      <c r="BX15" s="34">
        <f t="shared" si="50"/>
        <v>0</v>
      </c>
      <c r="BY15" s="34">
        <f t="shared" si="22"/>
        <v>2102.6083763870965</v>
      </c>
      <c r="CA15" s="34">
        <f t="shared" si="23"/>
        <v>1011.8810590974002</v>
      </c>
      <c r="CB15" s="35">
        <f t="shared" si="24"/>
        <v>33.502609597214338</v>
      </c>
      <c r="CC15" s="34">
        <f t="shared" si="25"/>
        <v>1827.9835399753517</v>
      </c>
      <c r="CD15" s="34">
        <f t="shared" si="26"/>
        <v>0</v>
      </c>
      <c r="CE15" s="34">
        <f t="shared" si="27"/>
        <v>6375.4044159705782</v>
      </c>
      <c r="CG15" s="34">
        <f t="shared" si="28"/>
        <v>5469.0286183219541</v>
      </c>
      <c r="CH15" s="34">
        <f t="shared" si="28"/>
        <v>361.38723370957962</v>
      </c>
      <c r="CI15" s="34">
        <f t="shared" si="28"/>
        <v>2074.4362131497096</v>
      </c>
      <c r="CJ15" s="34">
        <f t="shared" si="29"/>
        <v>0</v>
      </c>
      <c r="CK15" s="34">
        <f t="shared" si="30"/>
        <v>6375.4044159705782</v>
      </c>
      <c r="CL15" s="34">
        <f t="shared" si="31"/>
        <v>7904.8520651812432</v>
      </c>
      <c r="CM15" s="34">
        <f t="shared" si="32"/>
        <v>2873.3672086699653</v>
      </c>
      <c r="CO15" s="34">
        <f t="shared" si="33"/>
        <v>1209.9763493026078</v>
      </c>
      <c r="CP15" s="34">
        <f t="shared" si="34"/>
        <v>1209.9763493026078</v>
      </c>
      <c r="CQ15" s="34">
        <f t="shared" si="35"/>
        <v>0</v>
      </c>
      <c r="CR15" s="34">
        <f t="shared" si="36"/>
        <v>545.33110976349292</v>
      </c>
      <c r="CS15" s="34">
        <f t="shared" si="37"/>
        <v>954.91631291691954</v>
      </c>
    </row>
    <row r="16" spans="1:97" x14ac:dyDescent="0.25">
      <c r="A16" s="14" t="s">
        <v>103</v>
      </c>
      <c r="B16" t="s">
        <v>88</v>
      </c>
      <c r="C16" s="15">
        <v>336400</v>
      </c>
      <c r="D16" s="36">
        <v>45.3</v>
      </c>
      <c r="E16" s="17">
        <f t="shared" si="56"/>
        <v>4.3778801843317838E-2</v>
      </c>
      <c r="F16" s="37">
        <f t="shared" si="53"/>
        <v>5.0480353200883004</v>
      </c>
      <c r="G16" s="18"/>
      <c r="H16" s="19"/>
      <c r="I16" s="19">
        <v>0.9</v>
      </c>
      <c r="J16" s="20">
        <v>12</v>
      </c>
      <c r="K16" s="19"/>
      <c r="L16" s="19"/>
      <c r="M16" s="19">
        <v>30.2</v>
      </c>
      <c r="N16" s="19">
        <v>7.2</v>
      </c>
      <c r="O16" s="19"/>
      <c r="P16" s="21">
        <f t="shared" si="0"/>
        <v>50.300000000000004</v>
      </c>
      <c r="Q16" s="20">
        <f t="shared" si="54"/>
        <v>1316.6000000000001</v>
      </c>
      <c r="R16" s="20">
        <v>157.9</v>
      </c>
      <c r="S16" s="20"/>
      <c r="T16" s="22">
        <f t="shared" si="38"/>
        <v>208.20000000000002</v>
      </c>
      <c r="U16" s="23">
        <f t="shared" si="1"/>
        <v>0.24159462055715658</v>
      </c>
      <c r="V16" s="24"/>
      <c r="W16" s="24"/>
      <c r="X16" s="24"/>
      <c r="Z16" s="26">
        <v>297.00940000000003</v>
      </c>
      <c r="AA16" s="27">
        <v>27.053999999999998</v>
      </c>
      <c r="AB16" s="28">
        <f t="shared" si="39"/>
        <v>324.0634</v>
      </c>
      <c r="AC16" s="29">
        <v>109.8952</v>
      </c>
      <c r="AD16" s="24"/>
      <c r="AE16" s="28">
        <f t="shared" si="2"/>
        <v>433.95859999999999</v>
      </c>
      <c r="AF16" s="30"/>
      <c r="AG16" s="31">
        <v>1</v>
      </c>
      <c r="AH16" s="31">
        <f t="shared" si="40"/>
        <v>-226.75859999999997</v>
      </c>
      <c r="AI16" s="28">
        <f t="shared" si="41"/>
        <v>-225.75859999999997</v>
      </c>
      <c r="AK16" s="32">
        <f t="shared" si="3"/>
        <v>1499.3139415982341</v>
      </c>
      <c r="AL16" s="32">
        <f t="shared" si="4"/>
        <v>136.56954754966887</v>
      </c>
      <c r="AM16" s="32">
        <f t="shared" si="5"/>
        <v>554.75485110816783</v>
      </c>
      <c r="AN16" s="32">
        <f t="shared" si="42"/>
        <v>0</v>
      </c>
      <c r="AO16" s="32">
        <f t="shared" si="6"/>
        <v>1051.0009536423843</v>
      </c>
      <c r="AP16" s="33">
        <f t="shared" si="7"/>
        <v>0</v>
      </c>
      <c r="AQ16" s="33">
        <f t="shared" si="43"/>
        <v>0</v>
      </c>
      <c r="AS16" s="33">
        <f t="shared" si="8"/>
        <v>882.90546967895375</v>
      </c>
      <c r="AT16" s="33">
        <f t="shared" si="9"/>
        <v>80.422116527942933</v>
      </c>
      <c r="AU16" s="33">
        <f t="shared" si="10"/>
        <v>326.68014268727705</v>
      </c>
      <c r="AV16" s="33">
        <f t="shared" si="44"/>
        <v>0</v>
      </c>
      <c r="AW16" s="33">
        <f t="shared" si="11"/>
        <v>1290.0077288941739</v>
      </c>
      <c r="AX16" s="33">
        <f t="shared" si="12"/>
        <v>618.90606420927475</v>
      </c>
      <c r="AY16" s="33">
        <f t="shared" si="45"/>
        <v>0</v>
      </c>
      <c r="AZ16" s="33">
        <f t="shared" si="46"/>
        <v>0</v>
      </c>
      <c r="BB16" s="32">
        <f t="shared" si="13"/>
        <v>4456.9379952385088</v>
      </c>
      <c r="BC16" s="32">
        <f t="shared" si="14"/>
        <v>405.97368474931295</v>
      </c>
      <c r="BD16" s="32">
        <f t="shared" si="15"/>
        <v>1649.0928986568604</v>
      </c>
      <c r="BE16" s="32">
        <f t="shared" si="16"/>
        <v>3124.2596719452567</v>
      </c>
      <c r="BF16" s="32">
        <f t="shared" si="47"/>
        <v>0</v>
      </c>
      <c r="BG16" s="32">
        <f t="shared" si="48"/>
        <v>6512.0045786446826</v>
      </c>
      <c r="BH16" s="32">
        <f t="shared" si="17"/>
        <v>0</v>
      </c>
      <c r="BI16" s="32">
        <f t="shared" si="49"/>
        <v>0</v>
      </c>
      <c r="BJ16" s="32">
        <f t="shared" si="55"/>
        <v>-3387.7449066994259</v>
      </c>
      <c r="BK16" s="32"/>
      <c r="BM16" s="32">
        <v>93.432000000000002</v>
      </c>
      <c r="BN16" s="32">
        <v>0</v>
      </c>
      <c r="BO16" s="32">
        <v>0</v>
      </c>
      <c r="BP16" s="34">
        <f t="shared" si="18"/>
        <v>301.63200000000001</v>
      </c>
      <c r="BQ16" s="34">
        <f t="shared" si="51"/>
        <v>390.44140000000004</v>
      </c>
      <c r="BR16" s="34">
        <f t="shared" si="51"/>
        <v>27.053999999999998</v>
      </c>
      <c r="BS16" s="34">
        <f t="shared" si="52"/>
        <v>109.8952</v>
      </c>
      <c r="BU16" s="34">
        <f t="shared" si="19"/>
        <v>471.6480360264901</v>
      </c>
      <c r="BV16" s="34">
        <f t="shared" si="20"/>
        <v>0</v>
      </c>
      <c r="BW16" s="35">
        <f t="shared" si="21"/>
        <v>0</v>
      </c>
      <c r="BX16" s="34">
        <f t="shared" si="50"/>
        <v>0</v>
      </c>
      <c r="BY16" s="34">
        <f t="shared" si="22"/>
        <v>1522.6489896688743</v>
      </c>
      <c r="CA16" s="34">
        <f t="shared" si="23"/>
        <v>1402.0452913986032</v>
      </c>
      <c r="CB16" s="35">
        <f t="shared" si="24"/>
        <v>0</v>
      </c>
      <c r="CC16" s="34">
        <f t="shared" si="25"/>
        <v>0</v>
      </c>
      <c r="CD16" s="34">
        <f t="shared" si="26"/>
        <v>0</v>
      </c>
      <c r="CE16" s="34">
        <f t="shared" si="27"/>
        <v>4526.3049633438595</v>
      </c>
      <c r="CG16" s="34">
        <f t="shared" si="28"/>
        <v>5858.9832866371125</v>
      </c>
      <c r="CH16" s="34">
        <f t="shared" si="28"/>
        <v>405.97368474931295</v>
      </c>
      <c r="CI16" s="34">
        <f t="shared" si="28"/>
        <v>1649.0928986568604</v>
      </c>
      <c r="CJ16" s="34">
        <f t="shared" si="29"/>
        <v>0</v>
      </c>
      <c r="CK16" s="34">
        <f t="shared" si="30"/>
        <v>4526.3049633438595</v>
      </c>
      <c r="CL16" s="34">
        <f t="shared" si="31"/>
        <v>7914.0498700432863</v>
      </c>
      <c r="CM16" s="34">
        <f t="shared" si="32"/>
        <v>1402.0452913986037</v>
      </c>
      <c r="CO16" s="34">
        <f t="shared" si="33"/>
        <v>896.64684898929852</v>
      </c>
      <c r="CP16" s="34">
        <f t="shared" si="34"/>
        <v>896.64684898929852</v>
      </c>
      <c r="CQ16" s="34">
        <f t="shared" si="35"/>
        <v>0</v>
      </c>
      <c r="CR16" s="34">
        <f t="shared" si="36"/>
        <v>277.74078478002389</v>
      </c>
      <c r="CS16" s="34">
        <f t="shared" si="37"/>
        <v>1290.0077288941739</v>
      </c>
    </row>
    <row r="17" spans="1:97" x14ac:dyDescent="0.25">
      <c r="A17" s="14" t="s">
        <v>104</v>
      </c>
      <c r="B17" t="s">
        <v>88</v>
      </c>
      <c r="C17" s="15">
        <v>348100</v>
      </c>
      <c r="D17" s="36">
        <v>50.2</v>
      </c>
      <c r="E17" s="17">
        <f t="shared" si="56"/>
        <v>0.10816777041942616</v>
      </c>
      <c r="F17" s="37">
        <f t="shared" si="53"/>
        <v>4.5552988047808762</v>
      </c>
      <c r="G17" s="18"/>
      <c r="H17" s="19"/>
      <c r="I17" s="19">
        <v>1.2</v>
      </c>
      <c r="J17" s="20">
        <v>14.8</v>
      </c>
      <c r="K17" s="19"/>
      <c r="L17" s="19"/>
      <c r="M17" s="19">
        <v>35.799999999999997</v>
      </c>
      <c r="N17" s="19">
        <v>28.4</v>
      </c>
      <c r="O17" s="19"/>
      <c r="P17" s="21">
        <f t="shared" si="0"/>
        <v>80.199999999999989</v>
      </c>
      <c r="Q17" s="20">
        <f t="shared" si="54"/>
        <v>1396.8000000000002</v>
      </c>
      <c r="R17" s="20">
        <v>174.7</v>
      </c>
      <c r="S17" s="20"/>
      <c r="T17" s="22">
        <f t="shared" si="38"/>
        <v>254.89999999999998</v>
      </c>
      <c r="U17" s="23">
        <f t="shared" si="1"/>
        <v>0.31463318948607294</v>
      </c>
      <c r="V17" s="24"/>
      <c r="W17" s="24"/>
      <c r="X17" s="24"/>
      <c r="Z17" s="26">
        <v>358.18079999999998</v>
      </c>
      <c r="AA17" s="27">
        <v>28.327300000000001</v>
      </c>
      <c r="AB17" s="28">
        <f t="shared" si="39"/>
        <v>386.50809999999996</v>
      </c>
      <c r="AC17" s="29">
        <v>7.5206</v>
      </c>
      <c r="AD17" s="24"/>
      <c r="AE17" s="28">
        <f t="shared" si="2"/>
        <v>394.02869999999996</v>
      </c>
      <c r="AF17" s="30"/>
      <c r="AG17" s="27">
        <v>0</v>
      </c>
      <c r="AH17" s="31">
        <f t="shared" si="40"/>
        <v>-139.12869999999998</v>
      </c>
      <c r="AI17" s="28">
        <f t="shared" si="41"/>
        <v>-139.12869999999998</v>
      </c>
      <c r="AK17" s="32">
        <f t="shared" si="3"/>
        <v>1631.6205701354579</v>
      </c>
      <c r="AL17" s="32">
        <f t="shared" si="4"/>
        <v>129.03931583266933</v>
      </c>
      <c r="AM17" s="32">
        <f t="shared" si="5"/>
        <v>34.258580191235055</v>
      </c>
      <c r="AN17" s="32">
        <f t="shared" si="42"/>
        <v>0</v>
      </c>
      <c r="AO17" s="32">
        <f t="shared" si="6"/>
        <v>1161.1456653386454</v>
      </c>
      <c r="AP17" s="33">
        <f t="shared" si="7"/>
        <v>0</v>
      </c>
      <c r="AQ17" s="33">
        <f t="shared" si="43"/>
        <v>0</v>
      </c>
      <c r="AS17" s="33">
        <f t="shared" si="8"/>
        <v>1028.9594943981613</v>
      </c>
      <c r="AT17" s="33">
        <f t="shared" si="9"/>
        <v>81.376903188738865</v>
      </c>
      <c r="AU17" s="33">
        <f t="shared" si="10"/>
        <v>21.604711289859235</v>
      </c>
      <c r="AV17" s="33">
        <f t="shared" si="44"/>
        <v>0</v>
      </c>
      <c r="AW17" s="33">
        <f t="shared" si="11"/>
        <v>1131.9411088767595</v>
      </c>
      <c r="AX17" s="33">
        <f t="shared" si="12"/>
        <v>732.26084458488924</v>
      </c>
      <c r="AY17" s="33">
        <f t="shared" si="45"/>
        <v>0</v>
      </c>
      <c r="AZ17" s="33">
        <f t="shared" si="46"/>
        <v>0</v>
      </c>
      <c r="BB17" s="32">
        <f t="shared" si="13"/>
        <v>4687.2179549998791</v>
      </c>
      <c r="BC17" s="32">
        <f t="shared" si="14"/>
        <v>370.69610983243126</v>
      </c>
      <c r="BD17" s="32">
        <f t="shared" si="15"/>
        <v>98.415915516331665</v>
      </c>
      <c r="BE17" s="32">
        <f t="shared" si="16"/>
        <v>3335.6669501253814</v>
      </c>
      <c r="BF17" s="32">
        <f t="shared" si="47"/>
        <v>0</v>
      </c>
      <c r="BG17" s="32">
        <f t="shared" si="48"/>
        <v>5156.3299803486416</v>
      </c>
      <c r="BH17" s="32">
        <f t="shared" si="17"/>
        <v>0</v>
      </c>
      <c r="BI17" s="32">
        <f t="shared" si="49"/>
        <v>0</v>
      </c>
      <c r="BJ17" s="32">
        <f t="shared" si="55"/>
        <v>-1820.6630302232602</v>
      </c>
      <c r="BK17" s="32"/>
      <c r="BM17" s="32">
        <v>122.0543</v>
      </c>
      <c r="BN17" s="32">
        <v>0</v>
      </c>
      <c r="BO17" s="32">
        <v>59.072000000000003</v>
      </c>
      <c r="BP17" s="34">
        <f t="shared" si="18"/>
        <v>436.02629999999999</v>
      </c>
      <c r="BQ17" s="34">
        <f t="shared" si="51"/>
        <v>480.23509999999999</v>
      </c>
      <c r="BR17" s="34">
        <f t="shared" si="51"/>
        <v>28.327300000000001</v>
      </c>
      <c r="BS17" s="34">
        <f t="shared" si="52"/>
        <v>66.592600000000004</v>
      </c>
      <c r="BU17" s="34">
        <f t="shared" si="19"/>
        <v>555.99380690836654</v>
      </c>
      <c r="BV17" s="34">
        <f t="shared" si="20"/>
        <v>0</v>
      </c>
      <c r="BW17" s="35">
        <f t="shared" si="21"/>
        <v>269.09061099601593</v>
      </c>
      <c r="BX17" s="34">
        <f t="shared" si="50"/>
        <v>0</v>
      </c>
      <c r="BY17" s="34">
        <f t="shared" si="22"/>
        <v>1986.2300832430278</v>
      </c>
      <c r="CA17" s="34">
        <f t="shared" si="23"/>
        <v>1597.2243806617826</v>
      </c>
      <c r="CB17" s="35">
        <f t="shared" si="24"/>
        <v>0</v>
      </c>
      <c r="CC17" s="34">
        <f t="shared" si="25"/>
        <v>773.02674804945684</v>
      </c>
      <c r="CD17" s="34">
        <f t="shared" si="26"/>
        <v>0</v>
      </c>
      <c r="CE17" s="34">
        <f t="shared" si="27"/>
        <v>5705.9180788366211</v>
      </c>
      <c r="CG17" s="34">
        <f t="shared" si="28"/>
        <v>6284.4423356616617</v>
      </c>
      <c r="CH17" s="34">
        <f t="shared" si="28"/>
        <v>370.69610983243126</v>
      </c>
      <c r="CI17" s="34">
        <f t="shared" si="28"/>
        <v>871.44266356578851</v>
      </c>
      <c r="CJ17" s="34">
        <f t="shared" si="29"/>
        <v>0</v>
      </c>
      <c r="CK17" s="34">
        <f t="shared" si="30"/>
        <v>5705.9180788366211</v>
      </c>
      <c r="CL17" s="34">
        <f t="shared" si="31"/>
        <v>7526.5811090598809</v>
      </c>
      <c r="CM17" s="34">
        <f t="shared" si="32"/>
        <v>2370.2511287112393</v>
      </c>
      <c r="CO17" s="34">
        <f t="shared" si="33"/>
        <v>1252.5891985061764</v>
      </c>
      <c r="CP17" s="34">
        <f t="shared" si="34"/>
        <v>1252.5891985061764</v>
      </c>
      <c r="CQ17" s="34">
        <f t="shared" si="35"/>
        <v>0</v>
      </c>
      <c r="CR17" s="34">
        <f t="shared" si="36"/>
        <v>520.32835392128698</v>
      </c>
      <c r="CS17" s="34">
        <f t="shared" si="37"/>
        <v>1131.9411088767592</v>
      </c>
    </row>
    <row r="18" spans="1:97" x14ac:dyDescent="0.25">
      <c r="A18" s="14" t="s">
        <v>105</v>
      </c>
      <c r="B18" t="s">
        <v>106</v>
      </c>
      <c r="C18" s="15">
        <v>384100</v>
      </c>
      <c r="D18" s="36">
        <v>57.1</v>
      </c>
      <c r="E18" s="17">
        <f t="shared" si="56"/>
        <v>0.13745019920318713</v>
      </c>
      <c r="F18" s="37">
        <f t="shared" si="53"/>
        <v>4.0048336252189136</v>
      </c>
      <c r="G18" s="18"/>
      <c r="H18" s="19">
        <v>6.6</v>
      </c>
      <c r="I18" s="19">
        <v>2.5</v>
      </c>
      <c r="J18" s="20">
        <v>26.6</v>
      </c>
      <c r="K18" s="19"/>
      <c r="L18" s="19"/>
      <c r="M18" s="19">
        <v>49.8</v>
      </c>
      <c r="N18" s="19">
        <v>4.9000000000000004</v>
      </c>
      <c r="O18" s="19"/>
      <c r="P18" s="21">
        <f t="shared" si="0"/>
        <v>90.4</v>
      </c>
      <c r="Q18" s="20">
        <f t="shared" si="54"/>
        <v>1487.2000000000003</v>
      </c>
      <c r="R18" s="20">
        <v>243</v>
      </c>
      <c r="S18" s="20"/>
      <c r="T18" s="22">
        <f t="shared" si="38"/>
        <v>333.4</v>
      </c>
      <c r="U18" s="23">
        <f t="shared" si="1"/>
        <v>0.27114577084583086</v>
      </c>
      <c r="V18" s="24"/>
      <c r="W18" s="24"/>
      <c r="X18" s="24"/>
      <c r="Z18" s="26">
        <v>450.18520000000001</v>
      </c>
      <c r="AA18" s="27">
        <v>38.981900000000003</v>
      </c>
      <c r="AB18" s="28">
        <f t="shared" si="39"/>
        <v>489.1671</v>
      </c>
      <c r="AC18" s="29">
        <v>21.1068</v>
      </c>
      <c r="AD18" s="24"/>
      <c r="AE18" s="28">
        <f t="shared" si="2"/>
        <v>510.27390000000003</v>
      </c>
      <c r="AF18" s="30"/>
      <c r="AG18" s="27">
        <v>0</v>
      </c>
      <c r="AH18" s="31">
        <f t="shared" si="40"/>
        <v>-176.87390000000005</v>
      </c>
      <c r="AI18" s="28">
        <f t="shared" si="41"/>
        <v>-176.87390000000005</v>
      </c>
      <c r="AK18" s="32">
        <f t="shared" si="3"/>
        <v>1802.9168265359017</v>
      </c>
      <c r="AL18" s="32">
        <f t="shared" si="4"/>
        <v>156.11602389492117</v>
      </c>
      <c r="AM18" s="32">
        <f t="shared" si="5"/>
        <v>84.529222360770561</v>
      </c>
      <c r="AN18" s="32">
        <f t="shared" si="42"/>
        <v>0</v>
      </c>
      <c r="AO18" s="32">
        <f t="shared" si="6"/>
        <v>1335.2115306479857</v>
      </c>
      <c r="AP18" s="33">
        <f t="shared" si="7"/>
        <v>0</v>
      </c>
      <c r="AQ18" s="33">
        <f t="shared" si="43"/>
        <v>0</v>
      </c>
      <c r="AS18" s="33">
        <f t="shared" si="8"/>
        <v>1172.0520697734964</v>
      </c>
      <c r="AT18" s="33">
        <f t="shared" si="9"/>
        <v>101.48893517313201</v>
      </c>
      <c r="AU18" s="33">
        <f t="shared" si="10"/>
        <v>54.951314761780786</v>
      </c>
      <c r="AV18" s="33">
        <f t="shared" si="44"/>
        <v>0</v>
      </c>
      <c r="AW18" s="33">
        <f t="shared" si="11"/>
        <v>1328.4923197084092</v>
      </c>
      <c r="AX18" s="33">
        <f t="shared" si="12"/>
        <v>868.00312418640976</v>
      </c>
      <c r="AY18" s="33">
        <f t="shared" si="45"/>
        <v>0</v>
      </c>
      <c r="AZ18" s="33">
        <f t="shared" si="46"/>
        <v>0</v>
      </c>
      <c r="BA18" s="38"/>
      <c r="BB18" s="32">
        <f t="shared" si="13"/>
        <v>4693.8735395363228</v>
      </c>
      <c r="BC18" s="32">
        <f t="shared" si="14"/>
        <v>406.44630016902153</v>
      </c>
      <c r="BD18" s="32">
        <f t="shared" si="15"/>
        <v>220.07087310796814</v>
      </c>
      <c r="BE18" s="32">
        <f t="shared" si="16"/>
        <v>3476.208098536802</v>
      </c>
      <c r="BF18" s="32">
        <f t="shared" si="47"/>
        <v>0</v>
      </c>
      <c r="BG18" s="32">
        <f t="shared" si="48"/>
        <v>5320.3907128133133</v>
      </c>
      <c r="BH18" s="32">
        <f t="shared" si="17"/>
        <v>0</v>
      </c>
      <c r="BI18" s="32">
        <f t="shared" si="49"/>
        <v>0</v>
      </c>
      <c r="BJ18" s="32">
        <f t="shared" si="55"/>
        <v>-1844.1826142765112</v>
      </c>
      <c r="BK18" s="32"/>
      <c r="BM18" s="32">
        <v>157.31280000000001</v>
      </c>
      <c r="BN18" s="32">
        <v>0</v>
      </c>
      <c r="BO18" s="32">
        <v>170.21</v>
      </c>
      <c r="BP18" s="34">
        <f t="shared" si="18"/>
        <v>660.92280000000005</v>
      </c>
      <c r="BQ18" s="34">
        <f t="shared" si="51"/>
        <v>607.49800000000005</v>
      </c>
      <c r="BR18" s="34">
        <f t="shared" si="51"/>
        <v>38.981900000000003</v>
      </c>
      <c r="BS18" s="34">
        <f t="shared" si="52"/>
        <v>191.3168</v>
      </c>
      <c r="BU18" s="34">
        <f t="shared" si="19"/>
        <v>630.01159111733796</v>
      </c>
      <c r="BV18" s="34">
        <f t="shared" si="20"/>
        <v>0</v>
      </c>
      <c r="BW18" s="35">
        <f t="shared" si="21"/>
        <v>681.66273134851133</v>
      </c>
      <c r="BX18" s="34">
        <f t="shared" si="50"/>
        <v>0</v>
      </c>
      <c r="BY18" s="34">
        <f t="shared" si="22"/>
        <v>2646.8858531138353</v>
      </c>
      <c r="CA18" s="34">
        <f t="shared" si="23"/>
        <v>1640.2280424820046</v>
      </c>
      <c r="CB18" s="35">
        <f t="shared" si="24"/>
        <v>0</v>
      </c>
      <c r="CC18" s="34">
        <f t="shared" si="25"/>
        <v>1774.7012011156244</v>
      </c>
      <c r="CD18" s="34">
        <f t="shared" si="26"/>
        <v>0</v>
      </c>
      <c r="CE18" s="34">
        <f t="shared" si="27"/>
        <v>6891.1373421344324</v>
      </c>
      <c r="CG18" s="34">
        <f t="shared" si="28"/>
        <v>6334.1015820183275</v>
      </c>
      <c r="CH18" s="34">
        <f t="shared" si="28"/>
        <v>406.44630016902153</v>
      </c>
      <c r="CI18" s="34">
        <f t="shared" si="28"/>
        <v>1994.7720742235924</v>
      </c>
      <c r="CJ18" s="34">
        <f t="shared" si="29"/>
        <v>0</v>
      </c>
      <c r="CK18" s="34">
        <f t="shared" si="30"/>
        <v>6891.1373421344324</v>
      </c>
      <c r="CL18" s="34">
        <f t="shared" si="31"/>
        <v>8735.3199564109418</v>
      </c>
      <c r="CM18" s="34">
        <f t="shared" si="32"/>
        <v>3414.9292435976286</v>
      </c>
      <c r="CO18" s="34">
        <f t="shared" si="33"/>
        <v>1720.7050247331426</v>
      </c>
      <c r="CP18" s="34">
        <f t="shared" si="34"/>
        <v>1720.7050247331426</v>
      </c>
      <c r="CQ18" s="34">
        <f t="shared" si="35"/>
        <v>0</v>
      </c>
      <c r="CR18" s="34">
        <f t="shared" si="36"/>
        <v>852.70190054673253</v>
      </c>
      <c r="CS18" s="34">
        <f t="shared" si="37"/>
        <v>1328.4923197084095</v>
      </c>
    </row>
    <row r="19" spans="1:97" x14ac:dyDescent="0.25">
      <c r="A19" s="14" t="s">
        <v>107</v>
      </c>
      <c r="B19" t="s">
        <v>106</v>
      </c>
      <c r="C19" s="15">
        <v>409800</v>
      </c>
      <c r="D19" s="36">
        <v>61.5</v>
      </c>
      <c r="E19" s="17">
        <f t="shared" si="56"/>
        <v>7.7057793345008729E-2</v>
      </c>
      <c r="F19" s="37">
        <f t="shared" si="53"/>
        <v>3.7183089430894305</v>
      </c>
      <c r="G19" s="18"/>
      <c r="H19" s="19">
        <v>83.4</v>
      </c>
      <c r="I19" s="19">
        <v>4.9000000000000004</v>
      </c>
      <c r="J19" s="20">
        <v>28</v>
      </c>
      <c r="K19" s="19">
        <v>223.1</v>
      </c>
      <c r="L19" s="19"/>
      <c r="M19" s="19">
        <v>48.4</v>
      </c>
      <c r="N19" s="19">
        <v>3.7</v>
      </c>
      <c r="O19" s="19"/>
      <c r="P19" s="21">
        <f t="shared" si="0"/>
        <v>391.49999999999994</v>
      </c>
      <c r="Q19" s="20">
        <f t="shared" si="54"/>
        <v>1878.7000000000003</v>
      </c>
      <c r="R19" s="20">
        <v>318.3</v>
      </c>
      <c r="S19" s="20"/>
      <c r="T19" s="22">
        <f t="shared" si="38"/>
        <v>709.8</v>
      </c>
      <c r="U19" s="23">
        <f t="shared" si="1"/>
        <v>0.55156382079458999</v>
      </c>
      <c r="V19" s="24"/>
      <c r="W19" s="24"/>
      <c r="X19" s="24"/>
      <c r="Z19" s="26">
        <v>553.63499999999999</v>
      </c>
      <c r="AA19" s="27">
        <v>36.909100000000002</v>
      </c>
      <c r="AB19" s="28">
        <f t="shared" si="39"/>
        <v>590.54409999999996</v>
      </c>
      <c r="AC19" s="29">
        <v>28.433800000000002</v>
      </c>
      <c r="AD19" s="24"/>
      <c r="AE19" s="28">
        <f t="shared" si="2"/>
        <v>618.97789999999998</v>
      </c>
      <c r="AF19" s="30"/>
      <c r="AG19" s="27">
        <v>0</v>
      </c>
      <c r="AH19" s="31">
        <f t="shared" si="40"/>
        <v>90.822099999999978</v>
      </c>
      <c r="AI19" s="28">
        <f t="shared" si="41"/>
        <v>90.822099999999978</v>
      </c>
      <c r="AK19" s="32">
        <f t="shared" si="3"/>
        <v>2058.5859717073167</v>
      </c>
      <c r="AL19" s="32">
        <f t="shared" si="4"/>
        <v>137.2394366113821</v>
      </c>
      <c r="AM19" s="32">
        <f t="shared" si="5"/>
        <v>105.72565282601626</v>
      </c>
      <c r="AN19" s="32">
        <f t="shared" si="42"/>
        <v>0</v>
      </c>
      <c r="AO19" s="32">
        <f t="shared" si="6"/>
        <v>2639.2556878048777</v>
      </c>
      <c r="AP19" s="33">
        <f t="shared" si="7"/>
        <v>0</v>
      </c>
      <c r="AQ19" s="33">
        <f t="shared" si="43"/>
        <v>0</v>
      </c>
      <c r="AS19" s="33">
        <f t="shared" si="8"/>
        <v>1350.9882869692533</v>
      </c>
      <c r="AT19" s="33">
        <f t="shared" si="9"/>
        <v>90.06612981942412</v>
      </c>
      <c r="AU19" s="33">
        <f t="shared" si="10"/>
        <v>69.384577842850177</v>
      </c>
      <c r="AV19" s="33">
        <f t="shared" si="44"/>
        <v>0</v>
      </c>
      <c r="AW19" s="33">
        <f t="shared" si="11"/>
        <v>1510.4389946315275</v>
      </c>
      <c r="AX19" s="33">
        <f t="shared" si="12"/>
        <v>1732.0644216691069</v>
      </c>
      <c r="AY19" s="33">
        <f t="shared" si="45"/>
        <v>0</v>
      </c>
      <c r="AZ19" s="33">
        <f t="shared" si="46"/>
        <v>0</v>
      </c>
      <c r="BA19" s="38"/>
      <c r="BB19" s="32">
        <f t="shared" si="13"/>
        <v>5023.391829446844</v>
      </c>
      <c r="BC19" s="32">
        <f t="shared" si="14"/>
        <v>334.8936959770183</v>
      </c>
      <c r="BD19" s="32">
        <f t="shared" si="15"/>
        <v>257.99329630555457</v>
      </c>
      <c r="BE19" s="32">
        <f t="shared" si="16"/>
        <v>6440.3506290992618</v>
      </c>
      <c r="BF19" s="32">
        <f t="shared" si="47"/>
        <v>0</v>
      </c>
      <c r="BG19" s="32">
        <f t="shared" si="48"/>
        <v>5616.2788217294164</v>
      </c>
      <c r="BH19" s="32">
        <f t="shared" si="17"/>
        <v>0</v>
      </c>
      <c r="BI19" s="32">
        <f t="shared" si="49"/>
        <v>0</v>
      </c>
      <c r="BJ19" s="32">
        <f t="shared" si="55"/>
        <v>824.07180736984537</v>
      </c>
      <c r="BK19" s="32"/>
      <c r="BM19" s="32">
        <v>164.82640000000001</v>
      </c>
      <c r="BN19" s="32">
        <v>0</v>
      </c>
      <c r="BO19" s="32">
        <v>51.548999999999999</v>
      </c>
      <c r="BP19" s="34">
        <f t="shared" si="18"/>
        <v>926.17539999999997</v>
      </c>
      <c r="BQ19" s="34">
        <f t="shared" si="51"/>
        <v>718.46140000000003</v>
      </c>
      <c r="BR19" s="34">
        <f t="shared" si="51"/>
        <v>36.909100000000002</v>
      </c>
      <c r="BS19" s="34">
        <f t="shared" si="52"/>
        <v>79.982799999999997</v>
      </c>
      <c r="BU19" s="34">
        <f t="shared" si="19"/>
        <v>612.87547717723578</v>
      </c>
      <c r="BV19" s="34">
        <f t="shared" si="20"/>
        <v>0</v>
      </c>
      <c r="BW19" s="35">
        <f t="shared" si="21"/>
        <v>191.67510770731704</v>
      </c>
      <c r="BX19" s="34">
        <f t="shared" si="50"/>
        <v>0</v>
      </c>
      <c r="BY19" s="34">
        <f t="shared" si="22"/>
        <v>3443.8062726894304</v>
      </c>
      <c r="CA19" s="34">
        <f t="shared" si="23"/>
        <v>1495.5477725164367</v>
      </c>
      <c r="CB19" s="35">
        <f t="shared" si="24"/>
        <v>0</v>
      </c>
      <c r="CC19" s="34">
        <f t="shared" si="25"/>
        <v>467.72842290706939</v>
      </c>
      <c r="CD19" s="34">
        <f t="shared" si="26"/>
        <v>0</v>
      </c>
      <c r="CE19" s="34">
        <f t="shared" si="27"/>
        <v>8403.6268245227675</v>
      </c>
      <c r="CG19" s="34">
        <f t="shared" si="28"/>
        <v>6518.9396019632804</v>
      </c>
      <c r="CH19" s="34">
        <f t="shared" si="28"/>
        <v>334.8936959770183</v>
      </c>
      <c r="CI19" s="34">
        <f t="shared" si="28"/>
        <v>725.72171921262395</v>
      </c>
      <c r="CJ19" s="34">
        <f t="shared" si="29"/>
        <v>0</v>
      </c>
      <c r="CK19" s="34">
        <f t="shared" si="30"/>
        <v>8403.6268245227675</v>
      </c>
      <c r="CL19" s="34">
        <f t="shared" si="31"/>
        <v>7579.5550171529221</v>
      </c>
      <c r="CM19" s="34">
        <f t="shared" si="32"/>
        <v>1963.2761954235057</v>
      </c>
      <c r="CO19" s="34">
        <f t="shared" si="33"/>
        <v>2260.0668618838454</v>
      </c>
      <c r="CP19" s="34">
        <f t="shared" si="34"/>
        <v>2260.0668618838454</v>
      </c>
      <c r="CQ19" s="34">
        <f t="shared" si="35"/>
        <v>0</v>
      </c>
      <c r="CR19" s="34">
        <f t="shared" si="36"/>
        <v>528.00244021473884</v>
      </c>
      <c r="CS19" s="34">
        <f t="shared" si="37"/>
        <v>1510.4389946315273</v>
      </c>
    </row>
    <row r="20" spans="1:97" x14ac:dyDescent="0.25">
      <c r="A20" s="14" t="s">
        <v>108</v>
      </c>
      <c r="B20" t="s">
        <v>106</v>
      </c>
      <c r="C20" s="15">
        <v>418000</v>
      </c>
      <c r="D20" s="36">
        <v>65.599999999999994</v>
      </c>
      <c r="E20" s="17">
        <f t="shared" si="56"/>
        <v>6.6666666666666652E-2</v>
      </c>
      <c r="F20" s="37">
        <f t="shared" si="53"/>
        <v>3.4859146341463414</v>
      </c>
      <c r="G20" s="18"/>
      <c r="H20" s="19">
        <v>139.1</v>
      </c>
      <c r="I20" s="19">
        <v>5</v>
      </c>
      <c r="J20" s="20">
        <v>23.8</v>
      </c>
      <c r="K20" s="19">
        <v>270.60000000000002</v>
      </c>
      <c r="L20" s="19"/>
      <c r="M20" s="19">
        <v>36.299999999999997</v>
      </c>
      <c r="N20" s="19">
        <v>2.8</v>
      </c>
      <c r="O20" s="19"/>
      <c r="P20" s="21">
        <f t="shared" si="0"/>
        <v>477.6</v>
      </c>
      <c r="Q20" s="20">
        <f t="shared" si="54"/>
        <v>2356.3000000000002</v>
      </c>
      <c r="R20" s="20">
        <v>396.7</v>
      </c>
      <c r="S20" s="20"/>
      <c r="T20" s="22">
        <f t="shared" si="38"/>
        <v>874.3</v>
      </c>
      <c r="U20" s="23">
        <f t="shared" si="1"/>
        <v>0.54626558389568802</v>
      </c>
      <c r="V20" s="24"/>
      <c r="W20" s="24"/>
      <c r="X20" s="24"/>
      <c r="Z20" s="26">
        <v>691.4701</v>
      </c>
      <c r="AA20" s="29">
        <v>21.314599999999999</v>
      </c>
      <c r="AB20" s="28">
        <f t="shared" si="39"/>
        <v>712.78470000000004</v>
      </c>
      <c r="AC20" s="29">
        <v>24.759899999999998</v>
      </c>
      <c r="AD20" s="24"/>
      <c r="AE20" s="28">
        <f t="shared" si="2"/>
        <v>737.54460000000006</v>
      </c>
      <c r="AF20" s="30"/>
      <c r="AG20" s="31">
        <v>2.14</v>
      </c>
      <c r="AH20" s="31">
        <f t="shared" si="40"/>
        <v>134.61539999999991</v>
      </c>
      <c r="AI20" s="28">
        <f t="shared" si="41"/>
        <v>136.7553999999999</v>
      </c>
      <c r="AK20" s="32">
        <f t="shared" si="3"/>
        <v>2410.4057406646343</v>
      </c>
      <c r="AL20" s="32">
        <f t="shared" si="4"/>
        <v>74.300876060975597</v>
      </c>
      <c r="AM20" s="32">
        <f t="shared" si="5"/>
        <v>86.310897749999995</v>
      </c>
      <c r="AN20" s="32">
        <f t="shared" si="42"/>
        <v>0</v>
      </c>
      <c r="AO20" s="32">
        <f t="shared" si="6"/>
        <v>3047.7351646341463</v>
      </c>
      <c r="AP20" s="33">
        <f t="shared" si="7"/>
        <v>0</v>
      </c>
      <c r="AQ20" s="33">
        <f t="shared" si="43"/>
        <v>0</v>
      </c>
      <c r="AS20" s="33">
        <f t="shared" si="8"/>
        <v>1654.2346889952155</v>
      </c>
      <c r="AT20" s="33">
        <f t="shared" si="9"/>
        <v>50.991866028708131</v>
      </c>
      <c r="AU20" s="33">
        <f t="shared" si="10"/>
        <v>59.234210526315785</v>
      </c>
      <c r="AV20" s="33">
        <f t="shared" si="44"/>
        <v>0</v>
      </c>
      <c r="AW20" s="33">
        <f t="shared" si="11"/>
        <v>1764.4607655502393</v>
      </c>
      <c r="AX20" s="33">
        <f t="shared" si="12"/>
        <v>2091.6267942583731</v>
      </c>
      <c r="AY20" s="33">
        <f t="shared" si="45"/>
        <v>0</v>
      </c>
      <c r="AZ20" s="33">
        <f t="shared" si="46"/>
        <v>0</v>
      </c>
      <c r="BA20" s="38"/>
      <c r="BB20" s="32">
        <f t="shared" si="13"/>
        <v>5766.5209106809434</v>
      </c>
      <c r="BC20" s="32">
        <f t="shared" si="14"/>
        <v>177.75329201190334</v>
      </c>
      <c r="BD20" s="32">
        <f t="shared" si="15"/>
        <v>206.48540131578946</v>
      </c>
      <c r="BE20" s="32">
        <f t="shared" si="16"/>
        <v>7291.2324512778623</v>
      </c>
      <c r="BF20" s="32">
        <f t="shared" si="47"/>
        <v>0</v>
      </c>
      <c r="BG20" s="32">
        <f t="shared" si="48"/>
        <v>6150.7596040086355</v>
      </c>
      <c r="BH20" s="32">
        <f t="shared" si="17"/>
        <v>0</v>
      </c>
      <c r="BI20" s="32">
        <f t="shared" si="49"/>
        <v>0</v>
      </c>
      <c r="BJ20" s="32">
        <f t="shared" si="55"/>
        <v>1140.4728472692268</v>
      </c>
      <c r="BK20" s="32"/>
      <c r="BM20" s="32">
        <v>194.55019999999999</v>
      </c>
      <c r="BN20" s="32">
        <v>1.9395</v>
      </c>
      <c r="BO20" s="32">
        <v>438.99270000000001</v>
      </c>
      <c r="BP20" s="34">
        <f t="shared" si="18"/>
        <v>1509.7824000000001</v>
      </c>
      <c r="BQ20" s="34">
        <f t="shared" si="51"/>
        <v>886.02030000000002</v>
      </c>
      <c r="BR20" s="34">
        <f t="shared" si="51"/>
        <v>23.254099999999998</v>
      </c>
      <c r="BS20" s="34">
        <f t="shared" si="52"/>
        <v>463.75260000000003</v>
      </c>
      <c r="BU20" s="34">
        <f t="shared" si="19"/>
        <v>678.18538925609755</v>
      </c>
      <c r="BV20" s="34">
        <f t="shared" si="20"/>
        <v>6.7609314329268289</v>
      </c>
      <c r="BW20" s="35">
        <f t="shared" si="21"/>
        <v>1530.2910772134146</v>
      </c>
      <c r="BX20" s="34">
        <f t="shared" si="50"/>
        <v>0</v>
      </c>
      <c r="BY20" s="34">
        <f t="shared" si="22"/>
        <v>5262.9725625365854</v>
      </c>
      <c r="CA20" s="34">
        <f t="shared" si="23"/>
        <v>1622.453084344731</v>
      </c>
      <c r="CB20" s="35">
        <f t="shared" si="24"/>
        <v>16.174477112265141</v>
      </c>
      <c r="CC20" s="34">
        <f t="shared" si="25"/>
        <v>3660.9834383096045</v>
      </c>
      <c r="CD20" s="34">
        <f t="shared" si="26"/>
        <v>0</v>
      </c>
      <c r="CE20" s="34">
        <f t="shared" si="27"/>
        <v>12590.843451044464</v>
      </c>
      <c r="CG20" s="34">
        <f t="shared" si="28"/>
        <v>7388.9739950256744</v>
      </c>
      <c r="CH20" s="34">
        <f t="shared" si="28"/>
        <v>193.92776912416849</v>
      </c>
      <c r="CI20" s="34">
        <f t="shared" si="28"/>
        <v>3867.4688396253941</v>
      </c>
      <c r="CJ20" s="34">
        <f t="shared" si="29"/>
        <v>0</v>
      </c>
      <c r="CK20" s="34">
        <f t="shared" si="30"/>
        <v>12590.843451044464</v>
      </c>
      <c r="CL20" s="34">
        <f t="shared" si="31"/>
        <v>11450.370603775238</v>
      </c>
      <c r="CM20" s="34">
        <f t="shared" si="32"/>
        <v>5299.6109997666026</v>
      </c>
      <c r="CO20" s="34">
        <f t="shared" si="33"/>
        <v>3611.9196172248808</v>
      </c>
      <c r="CP20" s="34">
        <f t="shared" si="34"/>
        <v>3611.9196172248808</v>
      </c>
      <c r="CQ20" s="34">
        <f t="shared" si="35"/>
        <v>0</v>
      </c>
      <c r="CR20" s="34">
        <f t="shared" si="36"/>
        <v>1520.2928229665079</v>
      </c>
      <c r="CS20" s="34">
        <f t="shared" si="37"/>
        <v>1764.4607655502391</v>
      </c>
    </row>
    <row r="21" spans="1:97" x14ac:dyDescent="0.25">
      <c r="A21" s="14" t="s">
        <v>109</v>
      </c>
      <c r="B21" t="s">
        <v>106</v>
      </c>
      <c r="C21" s="15">
        <v>411600</v>
      </c>
      <c r="D21" s="36">
        <v>70.2</v>
      </c>
      <c r="E21" s="17">
        <f t="shared" si="56"/>
        <v>7.0121951219512368E-2</v>
      </c>
      <c r="F21" s="37">
        <f t="shared" si="53"/>
        <v>3.2574928774928771</v>
      </c>
      <c r="G21" s="18"/>
      <c r="H21" s="19">
        <v>173</v>
      </c>
      <c r="I21" s="19">
        <v>8.4</v>
      </c>
      <c r="J21" s="20">
        <v>107.7</v>
      </c>
      <c r="K21" s="19"/>
      <c r="L21" s="19"/>
      <c r="M21" s="19">
        <v>150.6</v>
      </c>
      <c r="N21" s="19">
        <v>1.8</v>
      </c>
      <c r="O21" s="19"/>
      <c r="P21" s="21">
        <f t="shared" si="0"/>
        <v>441.50000000000006</v>
      </c>
      <c r="Q21" s="20">
        <f t="shared" si="54"/>
        <v>2797.8</v>
      </c>
      <c r="R21" s="20">
        <v>323.39999999999998</v>
      </c>
      <c r="S21" s="20"/>
      <c r="T21" s="22">
        <f t="shared" si="38"/>
        <v>764.90000000000009</v>
      </c>
      <c r="U21" s="23">
        <f t="shared" si="1"/>
        <v>0.57719963393907703</v>
      </c>
      <c r="V21" s="24"/>
      <c r="W21" s="24"/>
      <c r="X21" s="24"/>
      <c r="Z21" s="26">
        <v>765.49850000000004</v>
      </c>
      <c r="AA21" s="29">
        <v>39.027900000000002</v>
      </c>
      <c r="AB21" s="28">
        <f t="shared" si="39"/>
        <v>804.52640000000008</v>
      </c>
      <c r="AC21" s="29">
        <v>51.576599999999999</v>
      </c>
      <c r="AD21" s="24"/>
      <c r="AE21" s="28">
        <f t="shared" si="2"/>
        <v>856.10300000000007</v>
      </c>
      <c r="AF21" s="30"/>
      <c r="AG21" s="27">
        <v>0</v>
      </c>
      <c r="AH21" s="31">
        <f t="shared" si="40"/>
        <v>-91.202999999999975</v>
      </c>
      <c r="AI21" s="28">
        <f t="shared" si="41"/>
        <v>-91.202999999999975</v>
      </c>
      <c r="AK21" s="32">
        <f t="shared" si="3"/>
        <v>2493.6059114814811</v>
      </c>
      <c r="AL21" s="32">
        <f t="shared" si="4"/>
        <v>127.13310627350427</v>
      </c>
      <c r="AM21" s="32">
        <f t="shared" si="5"/>
        <v>168.01040714529913</v>
      </c>
      <c r="AN21" s="32">
        <f t="shared" si="42"/>
        <v>0</v>
      </c>
      <c r="AO21" s="32">
        <f t="shared" si="6"/>
        <v>2491.6563019943019</v>
      </c>
      <c r="AP21" s="33">
        <f t="shared" si="7"/>
        <v>0</v>
      </c>
      <c r="AQ21" s="33">
        <f t="shared" si="43"/>
        <v>0</v>
      </c>
      <c r="AS21" s="33">
        <f t="shared" si="8"/>
        <v>1859.811710398445</v>
      </c>
      <c r="AT21" s="33">
        <f t="shared" si="9"/>
        <v>94.819970845481052</v>
      </c>
      <c r="AU21" s="33">
        <f t="shared" si="10"/>
        <v>125.30758017492711</v>
      </c>
      <c r="AV21" s="33">
        <f t="shared" si="44"/>
        <v>0</v>
      </c>
      <c r="AW21" s="33">
        <f t="shared" si="11"/>
        <v>2079.9392614188532</v>
      </c>
      <c r="AX21" s="33">
        <f t="shared" si="12"/>
        <v>1858.3576287657922</v>
      </c>
      <c r="AY21" s="33">
        <f t="shared" si="45"/>
        <v>0</v>
      </c>
      <c r="AZ21" s="33">
        <f t="shared" si="46"/>
        <v>0</v>
      </c>
      <c r="BA21" s="38"/>
      <c r="BB21" s="32">
        <f t="shared" si="13"/>
        <v>6058.3234001007795</v>
      </c>
      <c r="BC21" s="32">
        <f t="shared" si="14"/>
        <v>308.87537967323681</v>
      </c>
      <c r="BD21" s="32">
        <f t="shared" si="15"/>
        <v>408.1885499156927</v>
      </c>
      <c r="BE21" s="32">
        <f t="shared" si="16"/>
        <v>6053.5867395391197</v>
      </c>
      <c r="BF21" s="32">
        <f t="shared" si="47"/>
        <v>0</v>
      </c>
      <c r="BG21" s="32">
        <f t="shared" si="48"/>
        <v>6775.3873296897091</v>
      </c>
      <c r="BH21" s="32">
        <f t="shared" si="17"/>
        <v>0</v>
      </c>
      <c r="BI21" s="32">
        <f t="shared" si="49"/>
        <v>0</v>
      </c>
      <c r="BJ21" s="32">
        <f t="shared" si="55"/>
        <v>-721.80059015058941</v>
      </c>
      <c r="BK21" s="32"/>
      <c r="BM21" s="32">
        <v>248.45580000000001</v>
      </c>
      <c r="BN21" s="32">
        <v>0</v>
      </c>
      <c r="BO21" s="32">
        <v>44.922800000000002</v>
      </c>
      <c r="BP21" s="34">
        <f t="shared" si="18"/>
        <v>1058.2786000000001</v>
      </c>
      <c r="BQ21" s="34">
        <f t="shared" si="51"/>
        <v>1013.9543000000001</v>
      </c>
      <c r="BR21" s="34">
        <f t="shared" si="51"/>
        <v>39.027900000000002</v>
      </c>
      <c r="BS21" s="34">
        <f t="shared" si="52"/>
        <v>96.499400000000009</v>
      </c>
      <c r="BU21" s="34">
        <f t="shared" si="19"/>
        <v>809.34299887179475</v>
      </c>
      <c r="BV21" s="34">
        <f t="shared" si="20"/>
        <v>0</v>
      </c>
      <c r="BW21" s="35">
        <f t="shared" si="21"/>
        <v>146.33570103703701</v>
      </c>
      <c r="BX21" s="34">
        <f t="shared" si="50"/>
        <v>0</v>
      </c>
      <c r="BY21" s="34">
        <f t="shared" si="22"/>
        <v>3447.3350019031336</v>
      </c>
      <c r="CA21" s="34">
        <f t="shared" si="23"/>
        <v>1966.3338165009588</v>
      </c>
      <c r="CB21" s="35">
        <f t="shared" si="24"/>
        <v>0</v>
      </c>
      <c r="CC21" s="34">
        <f t="shared" si="25"/>
        <v>355.52891408415212</v>
      </c>
      <c r="CD21" s="34">
        <f t="shared" si="26"/>
        <v>0</v>
      </c>
      <c r="CE21" s="34">
        <f t="shared" si="27"/>
        <v>8375.4494701242311</v>
      </c>
      <c r="CG21" s="34">
        <f t="shared" si="28"/>
        <v>8024.6572166017386</v>
      </c>
      <c r="CH21" s="34">
        <f t="shared" si="28"/>
        <v>308.87537967323681</v>
      </c>
      <c r="CI21" s="34">
        <f t="shared" si="28"/>
        <v>763.71746399984477</v>
      </c>
      <c r="CJ21" s="34">
        <f t="shared" si="29"/>
        <v>0</v>
      </c>
      <c r="CK21" s="34">
        <f t="shared" si="30"/>
        <v>8375.4494701242311</v>
      </c>
      <c r="CL21" s="34">
        <f t="shared" si="31"/>
        <v>9097.2500602748205</v>
      </c>
      <c r="CM21" s="34">
        <f t="shared" si="32"/>
        <v>2321.8627305851114</v>
      </c>
      <c r="CO21" s="34">
        <f t="shared" si="33"/>
        <v>2571.1336248785228</v>
      </c>
      <c r="CP21" s="34">
        <f t="shared" si="34"/>
        <v>2571.1336248785228</v>
      </c>
      <c r="CQ21" s="34">
        <f t="shared" si="35"/>
        <v>0</v>
      </c>
      <c r="CR21" s="34">
        <f t="shared" si="36"/>
        <v>712.77599611273081</v>
      </c>
      <c r="CS21" s="34">
        <f t="shared" si="37"/>
        <v>2079.9392614188532</v>
      </c>
    </row>
    <row r="22" spans="1:97" x14ac:dyDescent="0.25">
      <c r="A22" s="14" t="s">
        <v>110</v>
      </c>
      <c r="B22" t="s">
        <v>106</v>
      </c>
      <c r="C22" s="15">
        <v>413700</v>
      </c>
      <c r="D22" s="36">
        <v>77.599999999999994</v>
      </c>
      <c r="E22" s="17">
        <f t="shared" si="56"/>
        <v>0.10541310541310533</v>
      </c>
      <c r="F22" s="37">
        <f t="shared" si="53"/>
        <v>2.9468556701030928</v>
      </c>
      <c r="G22" s="18"/>
      <c r="H22" s="19">
        <v>163.4</v>
      </c>
      <c r="I22" s="19">
        <v>232.6</v>
      </c>
      <c r="J22" s="20">
        <v>173.8</v>
      </c>
      <c r="K22" s="19"/>
      <c r="L22" s="19"/>
      <c r="M22" s="19">
        <v>250.2</v>
      </c>
      <c r="N22" s="19">
        <v>1.6</v>
      </c>
      <c r="O22" s="19"/>
      <c r="P22" s="21">
        <f t="shared" si="0"/>
        <v>821.6</v>
      </c>
      <c r="Q22" s="20">
        <f t="shared" si="54"/>
        <v>3619.4</v>
      </c>
      <c r="R22" s="20">
        <v>311.39999999999998</v>
      </c>
      <c r="S22" s="20"/>
      <c r="T22" s="22">
        <f t="shared" si="38"/>
        <v>1133</v>
      </c>
      <c r="U22" s="23">
        <f t="shared" si="1"/>
        <v>0.72515445719329219</v>
      </c>
      <c r="V22" s="24"/>
      <c r="W22" s="24"/>
      <c r="X22" s="24"/>
      <c r="Z22" s="26">
        <v>867.3415</v>
      </c>
      <c r="AA22" s="29">
        <v>29.220800000000001</v>
      </c>
      <c r="AB22" s="28">
        <f t="shared" si="39"/>
        <v>896.56230000000005</v>
      </c>
      <c r="AC22" s="29">
        <v>165.73349999999999</v>
      </c>
      <c r="AD22" s="24"/>
      <c r="AE22" s="28">
        <f t="shared" si="2"/>
        <v>1062.2958000000001</v>
      </c>
      <c r="AF22" s="30"/>
      <c r="AG22" s="27">
        <v>0</v>
      </c>
      <c r="AH22" s="31">
        <f t="shared" si="40"/>
        <v>70.704199999999901</v>
      </c>
      <c r="AI22" s="28">
        <f t="shared" si="41"/>
        <v>70.704199999999901</v>
      </c>
      <c r="AK22" s="32">
        <f t="shared" si="3"/>
        <v>2555.9302171907216</v>
      </c>
      <c r="AL22" s="32">
        <f t="shared" si="4"/>
        <v>86.109480164948451</v>
      </c>
      <c r="AM22" s="32">
        <f t="shared" si="5"/>
        <v>488.39270420103088</v>
      </c>
      <c r="AN22" s="32">
        <f t="shared" si="42"/>
        <v>0</v>
      </c>
      <c r="AO22" s="32">
        <f t="shared" si="6"/>
        <v>3338.7874742268041</v>
      </c>
      <c r="AP22" s="33">
        <f t="shared" si="7"/>
        <v>0</v>
      </c>
      <c r="AQ22" s="33">
        <f t="shared" si="43"/>
        <v>0</v>
      </c>
      <c r="AS22" s="33">
        <f t="shared" si="8"/>
        <v>2096.5470147449842</v>
      </c>
      <c r="AT22" s="33">
        <f t="shared" si="9"/>
        <v>70.632825719120135</v>
      </c>
      <c r="AU22" s="33">
        <f t="shared" si="10"/>
        <v>400.61276287164611</v>
      </c>
      <c r="AV22" s="33">
        <f t="shared" si="44"/>
        <v>0</v>
      </c>
      <c r="AW22" s="33">
        <f t="shared" si="11"/>
        <v>2567.7926033357508</v>
      </c>
      <c r="AX22" s="33">
        <f t="shared" si="12"/>
        <v>2738.6995407299974</v>
      </c>
      <c r="AY22" s="33">
        <f t="shared" si="45"/>
        <v>0</v>
      </c>
      <c r="AZ22" s="33">
        <f t="shared" si="46"/>
        <v>0</v>
      </c>
      <c r="BA22" s="38"/>
      <c r="BB22" s="32">
        <f t="shared" si="13"/>
        <v>6178.2214580389691</v>
      </c>
      <c r="BC22" s="32">
        <f t="shared" si="14"/>
        <v>208.14474296579272</v>
      </c>
      <c r="BD22" s="32">
        <f t="shared" si="15"/>
        <v>1180.5479917839759</v>
      </c>
      <c r="BE22" s="32">
        <f t="shared" si="16"/>
        <v>8070.5522703089291</v>
      </c>
      <c r="BF22" s="32">
        <f t="shared" si="47"/>
        <v>0</v>
      </c>
      <c r="BG22" s="32">
        <f t="shared" si="48"/>
        <v>7566.9141927887376</v>
      </c>
      <c r="BH22" s="32">
        <f t="shared" si="17"/>
        <v>0</v>
      </c>
      <c r="BI22" s="32">
        <f t="shared" si="49"/>
        <v>0</v>
      </c>
      <c r="BJ22" s="32">
        <f t="shared" si="55"/>
        <v>503.63807752019147</v>
      </c>
      <c r="BK22" s="32"/>
      <c r="BM22" s="32">
        <v>260.33139999999997</v>
      </c>
      <c r="BN22" s="32">
        <v>0</v>
      </c>
      <c r="BO22" s="32">
        <v>329.95240000000001</v>
      </c>
      <c r="BP22" s="34">
        <f t="shared" si="18"/>
        <v>1723.2837999999999</v>
      </c>
      <c r="BQ22" s="34">
        <f t="shared" si="51"/>
        <v>1127.6729</v>
      </c>
      <c r="BR22" s="34">
        <f t="shared" si="51"/>
        <v>29.220800000000001</v>
      </c>
      <c r="BS22" s="34">
        <f t="shared" si="52"/>
        <v>495.6859</v>
      </c>
      <c r="BU22" s="34">
        <f t="shared" si="19"/>
        <v>767.15906219587623</v>
      </c>
      <c r="BV22" s="34">
        <f t="shared" si="20"/>
        <v>0</v>
      </c>
      <c r="BW22" s="35">
        <f t="shared" si="21"/>
        <v>972.32210080412369</v>
      </c>
      <c r="BX22" s="34">
        <f t="shared" si="50"/>
        <v>0</v>
      </c>
      <c r="BY22" s="34">
        <f t="shared" si="22"/>
        <v>5078.2686372268035</v>
      </c>
      <c r="CA22" s="34">
        <f t="shared" si="23"/>
        <v>1854.3849702583423</v>
      </c>
      <c r="CB22" s="35">
        <f t="shared" si="24"/>
        <v>0</v>
      </c>
      <c r="CC22" s="34">
        <f t="shared" si="25"/>
        <v>2350.3072294032481</v>
      </c>
      <c r="CD22" s="34">
        <f t="shared" si="26"/>
        <v>0</v>
      </c>
      <c r="CE22" s="34">
        <f t="shared" si="27"/>
        <v>12275.244469970517</v>
      </c>
      <c r="CG22" s="34">
        <f t="shared" si="28"/>
        <v>8032.6064282973111</v>
      </c>
      <c r="CH22" s="34">
        <f t="shared" si="28"/>
        <v>208.14474296579272</v>
      </c>
      <c r="CI22" s="34">
        <f t="shared" si="28"/>
        <v>3530.8552211872238</v>
      </c>
      <c r="CJ22" s="34">
        <f t="shared" si="29"/>
        <v>0</v>
      </c>
      <c r="CK22" s="34">
        <f t="shared" si="30"/>
        <v>12275.244469970517</v>
      </c>
      <c r="CL22" s="34">
        <f t="shared" si="31"/>
        <v>11771.606392450329</v>
      </c>
      <c r="CM22" s="34">
        <f t="shared" si="32"/>
        <v>4204.6921996615911</v>
      </c>
      <c r="CO22" s="34">
        <f t="shared" si="33"/>
        <v>4165.5397631133665</v>
      </c>
      <c r="CP22" s="34">
        <f t="shared" si="34"/>
        <v>4165.5397631133665</v>
      </c>
      <c r="CQ22" s="34">
        <f t="shared" si="35"/>
        <v>0</v>
      </c>
      <c r="CR22" s="34">
        <f t="shared" si="36"/>
        <v>1426.8402223833698</v>
      </c>
      <c r="CS22" s="34">
        <f t="shared" si="37"/>
        <v>2567.7926033357503</v>
      </c>
    </row>
    <row r="23" spans="1:97" x14ac:dyDescent="0.25">
      <c r="A23" s="14" t="s">
        <v>111</v>
      </c>
      <c r="B23" t="s">
        <v>106</v>
      </c>
      <c r="C23" s="15">
        <v>419800</v>
      </c>
      <c r="D23" s="36">
        <v>85.5</v>
      </c>
      <c r="E23" s="17">
        <f t="shared" si="56"/>
        <v>0.10180412371134029</v>
      </c>
      <c r="F23" s="37">
        <f t="shared" si="53"/>
        <v>2.6745730994152046</v>
      </c>
      <c r="G23" s="18"/>
      <c r="H23" s="19">
        <v>168.9</v>
      </c>
      <c r="I23" s="19">
        <v>547.5</v>
      </c>
      <c r="J23" s="20">
        <v>506.5</v>
      </c>
      <c r="K23" s="19"/>
      <c r="L23" s="19"/>
      <c r="M23" s="19">
        <v>689.4</v>
      </c>
      <c r="N23" s="19">
        <v>344.2</v>
      </c>
      <c r="O23" s="19"/>
      <c r="P23" s="21">
        <f t="shared" si="0"/>
        <v>2256.5</v>
      </c>
      <c r="Q23" s="20">
        <f t="shared" si="54"/>
        <v>5875.9</v>
      </c>
      <c r="R23" s="20">
        <v>244.7</v>
      </c>
      <c r="S23" s="20"/>
      <c r="T23" s="22">
        <f t="shared" si="38"/>
        <v>2501.1999999999998</v>
      </c>
      <c r="U23" s="23">
        <f t="shared" si="1"/>
        <v>0.90216695985926765</v>
      </c>
      <c r="V23" s="24"/>
      <c r="W23" s="24"/>
      <c r="X23" s="24"/>
      <c r="Z23" s="26">
        <v>1075.0408</v>
      </c>
      <c r="AA23" s="29">
        <v>16.8476</v>
      </c>
      <c r="AB23" s="28">
        <f t="shared" si="39"/>
        <v>1091.8884</v>
      </c>
      <c r="AC23" s="29">
        <v>577.38250000000005</v>
      </c>
      <c r="AD23" s="24"/>
      <c r="AE23" s="28">
        <f t="shared" si="2"/>
        <v>1669.2709</v>
      </c>
      <c r="AF23" s="30"/>
      <c r="AG23" s="31">
        <v>322.05500000000001</v>
      </c>
      <c r="AH23" s="31">
        <f t="shared" si="40"/>
        <v>509.87409999999983</v>
      </c>
      <c r="AI23" s="28">
        <f t="shared" si="41"/>
        <v>831.92909999999983</v>
      </c>
      <c r="AK23" s="32">
        <f t="shared" si="3"/>
        <v>2875.2752044538011</v>
      </c>
      <c r="AL23" s="32">
        <f t="shared" si="4"/>
        <v>45.0601377497076</v>
      </c>
      <c r="AM23" s="32">
        <f t="shared" si="5"/>
        <v>1544.2517025730995</v>
      </c>
      <c r="AN23" s="32">
        <f t="shared" si="42"/>
        <v>0</v>
      </c>
      <c r="AO23" s="32">
        <f t="shared" si="6"/>
        <v>6689.6422362573094</v>
      </c>
      <c r="AP23" s="33">
        <f t="shared" si="7"/>
        <v>0</v>
      </c>
      <c r="AQ23" s="33">
        <f t="shared" si="43"/>
        <v>0</v>
      </c>
      <c r="AS23" s="33">
        <f t="shared" si="8"/>
        <v>2560.8404001905669</v>
      </c>
      <c r="AT23" s="33">
        <f t="shared" si="9"/>
        <v>40.13244402096236</v>
      </c>
      <c r="AU23" s="33">
        <f t="shared" si="10"/>
        <v>1375.3751786565033</v>
      </c>
      <c r="AV23" s="33">
        <f t="shared" si="44"/>
        <v>0</v>
      </c>
      <c r="AW23" s="33">
        <f t="shared" si="11"/>
        <v>3976.3480228680328</v>
      </c>
      <c r="AX23" s="33">
        <f t="shared" si="12"/>
        <v>5958.0752739399713</v>
      </c>
      <c r="AY23" s="33">
        <f t="shared" si="45"/>
        <v>0</v>
      </c>
      <c r="AZ23" s="33">
        <f t="shared" si="46"/>
        <v>0</v>
      </c>
      <c r="BA23" s="38"/>
      <c r="BB23" s="32">
        <f t="shared" si="13"/>
        <v>6849.1548462453575</v>
      </c>
      <c r="BC23" s="32">
        <f t="shared" si="14"/>
        <v>107.3371551922525</v>
      </c>
      <c r="BD23" s="32">
        <f t="shared" si="15"/>
        <v>3678.5414544380642</v>
      </c>
      <c r="BE23" s="32">
        <f t="shared" si="16"/>
        <v>15935.307851970723</v>
      </c>
      <c r="BF23" s="32">
        <f t="shared" si="47"/>
        <v>0</v>
      </c>
      <c r="BG23" s="32">
        <f t="shared" si="48"/>
        <v>10635.033455875675</v>
      </c>
      <c r="BH23" s="32">
        <f t="shared" si="17"/>
        <v>0</v>
      </c>
      <c r="BI23" s="32">
        <f t="shared" si="49"/>
        <v>0</v>
      </c>
      <c r="BJ23" s="32">
        <f t="shared" si="55"/>
        <v>5300.2743960950484</v>
      </c>
      <c r="BK23" s="32"/>
      <c r="BM23" s="32">
        <v>295.01749999999998</v>
      </c>
      <c r="BN23" s="32">
        <v>0</v>
      </c>
      <c r="BO23" s="32">
        <v>134.69980000000001</v>
      </c>
      <c r="BP23" s="34">
        <f t="shared" si="18"/>
        <v>2930.9173000000001</v>
      </c>
      <c r="BQ23" s="34">
        <f t="shared" si="51"/>
        <v>1370.0582999999999</v>
      </c>
      <c r="BR23" s="34">
        <f t="shared" si="51"/>
        <v>16.8476</v>
      </c>
      <c r="BS23" s="34">
        <f t="shared" si="52"/>
        <v>712.08230000000003</v>
      </c>
      <c r="BU23" s="34">
        <f t="shared" si="19"/>
        <v>789.04586935672512</v>
      </c>
      <c r="BV23" s="34">
        <f t="shared" si="20"/>
        <v>0</v>
      </c>
      <c r="BW23" s="35">
        <f t="shared" si="21"/>
        <v>360.2644615766082</v>
      </c>
      <c r="BX23" s="34">
        <f t="shared" si="50"/>
        <v>0</v>
      </c>
      <c r="BY23" s="34">
        <f t="shared" si="22"/>
        <v>7838.9525671906431</v>
      </c>
      <c r="CA23" s="34">
        <f t="shared" si="23"/>
        <v>1879.5756773623752</v>
      </c>
      <c r="CB23" s="35">
        <f t="shared" si="24"/>
        <v>0</v>
      </c>
      <c r="CC23" s="34">
        <f t="shared" si="25"/>
        <v>858.18118527062461</v>
      </c>
      <c r="CD23" s="34">
        <f t="shared" si="26"/>
        <v>0</v>
      </c>
      <c r="CE23" s="34">
        <f t="shared" si="27"/>
        <v>18673.064714603723</v>
      </c>
      <c r="CG23" s="34">
        <f t="shared" si="28"/>
        <v>8728.7305236077336</v>
      </c>
      <c r="CH23" s="34">
        <f t="shared" si="28"/>
        <v>107.3371551922525</v>
      </c>
      <c r="CI23" s="34">
        <f t="shared" si="28"/>
        <v>4536.7226397086888</v>
      </c>
      <c r="CJ23" s="34">
        <f t="shared" si="29"/>
        <v>0</v>
      </c>
      <c r="CK23" s="34">
        <f t="shared" si="30"/>
        <v>18673.064714603723</v>
      </c>
      <c r="CL23" s="34">
        <f t="shared" si="31"/>
        <v>13372.790318508674</v>
      </c>
      <c r="CM23" s="34">
        <f t="shared" si="32"/>
        <v>2737.7568626329994</v>
      </c>
      <c r="CO23" s="34">
        <f t="shared" si="33"/>
        <v>6981.6991424487851</v>
      </c>
      <c r="CP23" s="34">
        <f t="shared" si="34"/>
        <v>6981.6991424487851</v>
      </c>
      <c r="CQ23" s="34">
        <f t="shared" si="35"/>
        <v>0</v>
      </c>
      <c r="CR23" s="34">
        <f t="shared" si="36"/>
        <v>1023.6238685088135</v>
      </c>
      <c r="CS23" s="34">
        <f t="shared" si="37"/>
        <v>3976.3480228680328</v>
      </c>
    </row>
    <row r="24" spans="1:97" x14ac:dyDescent="0.25">
      <c r="A24" s="14" t="s">
        <v>112</v>
      </c>
      <c r="B24" t="s">
        <v>106</v>
      </c>
      <c r="C24" s="15">
        <v>434300</v>
      </c>
      <c r="D24" s="36">
        <v>92.4</v>
      </c>
      <c r="E24" s="17">
        <f t="shared" si="56"/>
        <v>8.0701754385964941E-2</v>
      </c>
      <c r="F24" s="37">
        <f t="shared" si="53"/>
        <v>2.4748484848484846</v>
      </c>
      <c r="G24" s="18"/>
      <c r="H24" s="19">
        <v>143</v>
      </c>
      <c r="I24" s="19">
        <v>860.1</v>
      </c>
      <c r="J24" s="20">
        <v>1170.2</v>
      </c>
      <c r="K24" s="19"/>
      <c r="L24" s="19"/>
      <c r="M24" s="19">
        <v>1119.7</v>
      </c>
      <c r="N24" s="19">
        <v>11.3</v>
      </c>
      <c r="O24" s="19"/>
      <c r="P24" s="21">
        <f t="shared" si="0"/>
        <v>3304.3</v>
      </c>
      <c r="Q24" s="20">
        <f t="shared" si="54"/>
        <v>9180.2000000000007</v>
      </c>
      <c r="R24" s="20">
        <v>413.7</v>
      </c>
      <c r="S24" s="20"/>
      <c r="T24" s="22">
        <f t="shared" si="38"/>
        <v>3718</v>
      </c>
      <c r="U24" s="23">
        <f t="shared" si="1"/>
        <v>0.88873050026896183</v>
      </c>
      <c r="V24" s="24"/>
      <c r="W24" s="24"/>
      <c r="X24" s="24"/>
      <c r="Z24" s="26">
        <v>1595.7117000000001</v>
      </c>
      <c r="AA24" s="29">
        <v>556.21109999999999</v>
      </c>
      <c r="AB24" s="28">
        <f>+Z24+AA24</f>
        <v>2151.9228000000003</v>
      </c>
      <c r="AC24" s="29">
        <v>387.22199999999998</v>
      </c>
      <c r="AD24" s="24"/>
      <c r="AE24" s="28">
        <f t="shared" si="2"/>
        <v>2539.1448</v>
      </c>
      <c r="AF24" s="30"/>
      <c r="AG24" s="31">
        <v>25</v>
      </c>
      <c r="AH24" s="31">
        <f t="shared" si="40"/>
        <v>1153.8552</v>
      </c>
      <c r="AI24" s="28">
        <f t="shared" si="41"/>
        <v>1178.8552</v>
      </c>
      <c r="AK24" s="32">
        <f t="shared" si="3"/>
        <v>3949.144683</v>
      </c>
      <c r="AL24" s="32">
        <f t="shared" si="4"/>
        <v>1376.538198090909</v>
      </c>
      <c r="AM24" s="32">
        <f t="shared" si="5"/>
        <v>958.3157799999999</v>
      </c>
      <c r="AN24" s="32">
        <f t="shared" si="42"/>
        <v>0</v>
      </c>
      <c r="AO24" s="32">
        <f t="shared" si="6"/>
        <v>9201.4866666666658</v>
      </c>
      <c r="AP24" s="33">
        <f t="shared" si="7"/>
        <v>0</v>
      </c>
      <c r="AQ24" s="33">
        <f t="shared" si="43"/>
        <v>0</v>
      </c>
      <c r="AS24" s="33">
        <f t="shared" si="8"/>
        <v>3674.2152889707577</v>
      </c>
      <c r="AT24" s="33">
        <f t="shared" si="9"/>
        <v>1280.7071148975363</v>
      </c>
      <c r="AU24" s="33">
        <f t="shared" si="10"/>
        <v>891.60027630670038</v>
      </c>
      <c r="AV24" s="33">
        <f t="shared" si="44"/>
        <v>0</v>
      </c>
      <c r="AW24" s="33">
        <f t="shared" si="11"/>
        <v>5846.5226801749941</v>
      </c>
      <c r="AX24" s="33">
        <f t="shared" si="12"/>
        <v>8560.9026018880959</v>
      </c>
      <c r="AY24" s="33">
        <f t="shared" si="45"/>
        <v>0</v>
      </c>
      <c r="AZ24" s="33">
        <f t="shared" si="46"/>
        <v>0</v>
      </c>
      <c r="BA24" s="38"/>
      <c r="BB24" s="32">
        <f t="shared" si="13"/>
        <v>9093.1261409164163</v>
      </c>
      <c r="BC24" s="32">
        <f t="shared" si="14"/>
        <v>3169.5560628388416</v>
      </c>
      <c r="BD24" s="32">
        <f t="shared" si="15"/>
        <v>2206.5755929081279</v>
      </c>
      <c r="BE24" s="32">
        <f t="shared" si="16"/>
        <v>21186.936833218202</v>
      </c>
      <c r="BF24" s="32">
        <f t="shared" si="47"/>
        <v>0</v>
      </c>
      <c r="BG24" s="32">
        <f t="shared" si="48"/>
        <v>14469.257796663385</v>
      </c>
      <c r="BH24" s="32">
        <f t="shared" si="17"/>
        <v>0</v>
      </c>
      <c r="BI24" s="32">
        <f t="shared" si="49"/>
        <v>0</v>
      </c>
      <c r="BJ24" s="32">
        <f t="shared" si="55"/>
        <v>6717.6790365548168</v>
      </c>
      <c r="BK24" s="32"/>
      <c r="BM24" s="32">
        <v>320.44990000000001</v>
      </c>
      <c r="BN24" s="32">
        <v>0</v>
      </c>
      <c r="BO24" s="32">
        <v>401.96690000000001</v>
      </c>
      <c r="BP24" s="34">
        <f t="shared" si="18"/>
        <v>4440.4168</v>
      </c>
      <c r="BQ24" s="34">
        <f t="shared" si="51"/>
        <v>1916.1616000000001</v>
      </c>
      <c r="BR24" s="34">
        <f t="shared" si="51"/>
        <v>556.21109999999999</v>
      </c>
      <c r="BS24" s="34">
        <f t="shared" si="52"/>
        <v>789.18889999999999</v>
      </c>
      <c r="BU24" s="34">
        <f t="shared" si="19"/>
        <v>793.0649494848484</v>
      </c>
      <c r="BV24" s="34">
        <f t="shared" si="20"/>
        <v>0</v>
      </c>
      <c r="BW24" s="35">
        <f t="shared" si="21"/>
        <v>994.80717342424236</v>
      </c>
      <c r="BX24" s="34">
        <f t="shared" si="50"/>
        <v>0</v>
      </c>
      <c r="BY24" s="34">
        <f t="shared" si="22"/>
        <v>10989.358789575757</v>
      </c>
      <c r="CA24" s="34">
        <f t="shared" si="23"/>
        <v>1826.0763285398305</v>
      </c>
      <c r="CB24" s="35">
        <f t="shared" si="24"/>
        <v>0</v>
      </c>
      <c r="CC24" s="34">
        <f t="shared" si="25"/>
        <v>2290.5990638366161</v>
      </c>
      <c r="CD24" s="34">
        <f t="shared" si="26"/>
        <v>0</v>
      </c>
      <c r="CE24" s="34">
        <f t="shared" si="27"/>
        <v>25303.61222559465</v>
      </c>
      <c r="CG24" s="34">
        <f t="shared" si="28"/>
        <v>10919.202469456246</v>
      </c>
      <c r="CH24" s="34">
        <f t="shared" si="28"/>
        <v>3169.5560628388416</v>
      </c>
      <c r="CI24" s="34">
        <f t="shared" si="28"/>
        <v>4497.1746567447444</v>
      </c>
      <c r="CJ24" s="34">
        <f t="shared" si="29"/>
        <v>0</v>
      </c>
      <c r="CK24" s="34">
        <f t="shared" si="30"/>
        <v>25303.61222559465</v>
      </c>
      <c r="CL24" s="34">
        <f t="shared" si="31"/>
        <v>18585.933189039832</v>
      </c>
      <c r="CM24" s="34">
        <f t="shared" si="32"/>
        <v>4116.6753923764463</v>
      </c>
      <c r="CO24" s="34">
        <f t="shared" si="33"/>
        <v>10224.30762145982</v>
      </c>
      <c r="CP24" s="34">
        <f t="shared" si="34"/>
        <v>10224.30762145982</v>
      </c>
      <c r="CQ24" s="34">
        <f t="shared" si="35"/>
        <v>0</v>
      </c>
      <c r="CR24" s="34">
        <f t="shared" si="36"/>
        <v>1663.4050195717246</v>
      </c>
      <c r="CS24" s="34">
        <f t="shared" si="37"/>
        <v>5846.5226801749941</v>
      </c>
    </row>
    <row r="25" spans="1:97" x14ac:dyDescent="0.25">
      <c r="A25" s="14" t="s">
        <v>113</v>
      </c>
      <c r="B25" t="s">
        <v>106</v>
      </c>
      <c r="C25" s="15">
        <v>464300</v>
      </c>
      <c r="D25" s="36">
        <v>97.4</v>
      </c>
      <c r="E25" s="17">
        <f t="shared" si="56"/>
        <v>5.4112554112554001E-2</v>
      </c>
      <c r="F25" s="37">
        <f t="shared" si="53"/>
        <v>2.3478028747433264</v>
      </c>
      <c r="G25" s="18">
        <f>33.42-2.5</f>
        <v>30.92</v>
      </c>
      <c r="H25" s="19">
        <v>142.69999999999999</v>
      </c>
      <c r="I25" s="19">
        <v>668.9</v>
      </c>
      <c r="J25" s="20">
        <v>1581.7</v>
      </c>
      <c r="K25" s="19"/>
      <c r="L25" s="19"/>
      <c r="M25" s="19">
        <v>1174.4000000000001</v>
      </c>
      <c r="N25" s="19">
        <v>7.1</v>
      </c>
      <c r="O25" s="19"/>
      <c r="P25" s="21">
        <f t="shared" si="0"/>
        <v>3574.8</v>
      </c>
      <c r="Q25" s="20">
        <f t="shared" si="54"/>
        <v>12755</v>
      </c>
      <c r="R25" s="20">
        <v>533.6</v>
      </c>
      <c r="S25" s="20"/>
      <c r="T25" s="22">
        <f t="shared" si="38"/>
        <v>4108.4000000000005</v>
      </c>
      <c r="U25" s="23">
        <f t="shared" si="1"/>
        <v>0.8701197546490117</v>
      </c>
      <c r="V25" s="24"/>
      <c r="W25" s="20">
        <v>0</v>
      </c>
      <c r="X25" s="24"/>
      <c r="Z25" s="26">
        <v>2312.0767000000001</v>
      </c>
      <c r="AA25" s="29">
        <v>93.577100000000002</v>
      </c>
      <c r="AB25" s="28">
        <f>+Z25+AA25</f>
        <v>2405.6538</v>
      </c>
      <c r="AC25" s="29">
        <v>1232.5939000000001</v>
      </c>
      <c r="AD25" s="39">
        <v>148.32980000000001</v>
      </c>
      <c r="AE25" s="28">
        <f t="shared" si="2"/>
        <v>3638.2476999999999</v>
      </c>
      <c r="AF25" s="30"/>
      <c r="AG25" s="40">
        <v>565.1</v>
      </c>
      <c r="AH25" s="31">
        <f t="shared" si="40"/>
        <v>-94.947699999999372</v>
      </c>
      <c r="AI25" s="28">
        <f t="shared" si="41"/>
        <v>470.15230000000065</v>
      </c>
      <c r="AK25" s="32">
        <f t="shared" si="3"/>
        <v>5428.3003228870639</v>
      </c>
      <c r="AL25" s="32">
        <f t="shared" si="4"/>
        <v>219.70058439014372</v>
      </c>
      <c r="AM25" s="32">
        <f t="shared" si="5"/>
        <v>2893.8875018110884</v>
      </c>
      <c r="AN25" s="32">
        <f t="shared" si="42"/>
        <v>348.24913085010269</v>
      </c>
      <c r="AO25" s="32">
        <f t="shared" si="6"/>
        <v>9645.7133305954831</v>
      </c>
      <c r="AP25" s="33">
        <f t="shared" si="7"/>
        <v>0</v>
      </c>
      <c r="AQ25" s="33">
        <f t="shared" si="43"/>
        <v>0</v>
      </c>
      <c r="AS25" s="33">
        <f t="shared" si="8"/>
        <v>4979.704286021969</v>
      </c>
      <c r="AT25" s="33">
        <f t="shared" si="9"/>
        <v>201.54447555459834</v>
      </c>
      <c r="AU25" s="33">
        <f t="shared" si="10"/>
        <v>2654.7359465862592</v>
      </c>
      <c r="AV25" s="33">
        <f t="shared" si="44"/>
        <v>319.4697393926341</v>
      </c>
      <c r="AW25" s="33">
        <f t="shared" si="11"/>
        <v>7835.9847081628268</v>
      </c>
      <c r="AX25" s="33">
        <f t="shared" si="12"/>
        <v>8848.58927417618</v>
      </c>
      <c r="AY25" s="33">
        <f t="shared" si="45"/>
        <v>0</v>
      </c>
      <c r="AZ25" s="33">
        <f t="shared" si="46"/>
        <v>0</v>
      </c>
      <c r="BA25" s="38"/>
      <c r="BB25" s="32">
        <f t="shared" si="13"/>
        <v>11691.364038094043</v>
      </c>
      <c r="BC25" s="32">
        <f t="shared" si="14"/>
        <v>473.18669909572202</v>
      </c>
      <c r="BD25" s="32">
        <f t="shared" si="15"/>
        <v>6232.7966870796654</v>
      </c>
      <c r="BE25" s="32">
        <f t="shared" si="16"/>
        <v>20774.743335333798</v>
      </c>
      <c r="BF25" s="32">
        <f t="shared" si="47"/>
        <v>750.0519725395277</v>
      </c>
      <c r="BG25" s="32">
        <f t="shared" si="48"/>
        <v>19147.39939680896</v>
      </c>
      <c r="BH25" s="32">
        <f t="shared" si="17"/>
        <v>0</v>
      </c>
      <c r="BI25" s="32">
        <f t="shared" si="49"/>
        <v>0</v>
      </c>
      <c r="BJ25" s="32">
        <f t="shared" si="55"/>
        <v>1627.3439385248384</v>
      </c>
      <c r="BK25" s="32"/>
      <c r="BM25" s="32">
        <v>365.31970000000001</v>
      </c>
      <c r="BN25" s="32">
        <v>1.9450000000000001</v>
      </c>
      <c r="BO25" s="32">
        <v>61.264600000000002</v>
      </c>
      <c r="BP25" s="34">
        <f t="shared" si="18"/>
        <v>4536.9293000000007</v>
      </c>
      <c r="BQ25" s="34">
        <f t="shared" si="51"/>
        <v>2677.3964000000001</v>
      </c>
      <c r="BR25" s="34">
        <f t="shared" si="51"/>
        <v>95.522099999999995</v>
      </c>
      <c r="BS25" s="34">
        <f t="shared" si="52"/>
        <v>1293.8585</v>
      </c>
      <c r="BU25" s="34">
        <f t="shared" si="19"/>
        <v>857.69864186036955</v>
      </c>
      <c r="BV25" s="34">
        <f t="shared" si="20"/>
        <v>4.5664765913757703</v>
      </c>
      <c r="BW25" s="35">
        <f t="shared" si="21"/>
        <v>143.83720399999999</v>
      </c>
      <c r="BX25" s="34">
        <f t="shared" si="50"/>
        <v>348.24913085010269</v>
      </c>
      <c r="BY25" s="34">
        <f t="shared" si="22"/>
        <v>10651.81565304723</v>
      </c>
      <c r="CA25" s="34">
        <f t="shared" si="23"/>
        <v>1847.2940811121464</v>
      </c>
      <c r="CB25" s="35">
        <f t="shared" si="24"/>
        <v>9.8351854218732946</v>
      </c>
      <c r="CC25" s="34">
        <f t="shared" si="25"/>
        <v>309.79367650226146</v>
      </c>
      <c r="CD25" s="34">
        <f t="shared" si="26"/>
        <v>750.0519725395277</v>
      </c>
      <c r="CE25" s="34">
        <f t="shared" si="27"/>
        <v>22941.666278370085</v>
      </c>
      <c r="CG25" s="34">
        <f t="shared" si="28"/>
        <v>13538.658119206189</v>
      </c>
      <c r="CH25" s="34">
        <f t="shared" si="28"/>
        <v>483.02188451759531</v>
      </c>
      <c r="CI25" s="34">
        <f t="shared" si="28"/>
        <v>6542.5903635819268</v>
      </c>
      <c r="CJ25" s="34">
        <f t="shared" si="29"/>
        <v>750.0519725395277</v>
      </c>
      <c r="CK25" s="34">
        <f t="shared" si="30"/>
        <v>23691.718250909613</v>
      </c>
      <c r="CL25" s="34">
        <f t="shared" si="31"/>
        <v>20564.270367305711</v>
      </c>
      <c r="CM25" s="34">
        <f t="shared" si="32"/>
        <v>1416.8709704967514</v>
      </c>
      <c r="CO25" s="34">
        <f t="shared" si="33"/>
        <v>9771.5470600904609</v>
      </c>
      <c r="CP25" s="34">
        <f t="shared" si="34"/>
        <v>10091.016799483095</v>
      </c>
      <c r="CQ25" s="34">
        <f t="shared" si="35"/>
        <v>319.4697393926341</v>
      </c>
      <c r="CR25" s="34">
        <f t="shared" si="36"/>
        <v>603.48804652164461</v>
      </c>
      <c r="CS25" s="34">
        <f t="shared" si="37"/>
        <v>8155.4544475554621</v>
      </c>
    </row>
    <row r="26" spans="1:97" x14ac:dyDescent="0.25">
      <c r="A26" s="14" t="s">
        <v>114</v>
      </c>
      <c r="B26" t="s">
        <v>115</v>
      </c>
      <c r="C26" s="15">
        <v>499100</v>
      </c>
      <c r="D26" s="36">
        <v>99.2</v>
      </c>
      <c r="E26" s="17">
        <f t="shared" si="56"/>
        <v>1.848049281314168E-2</v>
      </c>
      <c r="F26" s="37">
        <f t="shared" si="53"/>
        <v>2.3052016129032258</v>
      </c>
      <c r="G26" s="18">
        <f>32.11-2.5</f>
        <v>29.61</v>
      </c>
      <c r="H26" s="19">
        <v>152.6</v>
      </c>
      <c r="I26" s="19">
        <v>236</v>
      </c>
      <c r="J26" s="20">
        <v>1493.7</v>
      </c>
      <c r="K26" s="19"/>
      <c r="L26" s="19"/>
      <c r="M26" s="19">
        <v>1105.5999999999999</v>
      </c>
      <c r="N26" s="19">
        <v>38.700000000000003</v>
      </c>
      <c r="O26" s="19"/>
      <c r="P26" s="21">
        <f t="shared" si="0"/>
        <v>3026.6</v>
      </c>
      <c r="Q26" s="20">
        <f t="shared" si="54"/>
        <v>15781.6</v>
      </c>
      <c r="R26" s="20">
        <v>604.40000000000055</v>
      </c>
      <c r="S26" s="20"/>
      <c r="T26" s="22">
        <f t="shared" si="38"/>
        <v>3631.0000000000005</v>
      </c>
      <c r="U26" s="23">
        <f t="shared" si="1"/>
        <v>0.83354447810520504</v>
      </c>
      <c r="V26" s="24"/>
      <c r="W26" s="20">
        <v>0</v>
      </c>
      <c r="X26" s="24"/>
      <c r="Z26" s="26">
        <v>1853.2765999999999</v>
      </c>
      <c r="AA26" s="29">
        <v>22.586400000000001</v>
      </c>
      <c r="AB26" s="28">
        <f t="shared" si="39"/>
        <v>1875.8629999999998</v>
      </c>
      <c r="AC26" s="29">
        <v>668.49019999999996</v>
      </c>
      <c r="AD26" s="39">
        <v>322.56720000000001</v>
      </c>
      <c r="AE26" s="28">
        <f t="shared" si="2"/>
        <v>2544.3531999999996</v>
      </c>
      <c r="AF26" s="30"/>
      <c r="AG26" s="40">
        <v>7.3000999999999996</v>
      </c>
      <c r="AH26" s="31">
        <f t="shared" si="40"/>
        <v>1079.346700000001</v>
      </c>
      <c r="AI26" s="28">
        <f t="shared" si="41"/>
        <v>1086.6468000000009</v>
      </c>
      <c r="AK26" s="32">
        <f t="shared" si="3"/>
        <v>4272.1762074758062</v>
      </c>
      <c r="AL26" s="32">
        <f t="shared" si="4"/>
        <v>52.066205709677419</v>
      </c>
      <c r="AM26" s="32">
        <f t="shared" si="5"/>
        <v>1541.00468725</v>
      </c>
      <c r="AN26" s="32">
        <f t="shared" si="42"/>
        <v>743.5824297096774</v>
      </c>
      <c r="AO26" s="32">
        <f t="shared" si="6"/>
        <v>8370.1870564516139</v>
      </c>
      <c r="AP26" s="33">
        <f t="shared" si="7"/>
        <v>0</v>
      </c>
      <c r="AQ26" s="33">
        <f t="shared" si="43"/>
        <v>0</v>
      </c>
      <c r="AS26" s="33">
        <f t="shared" si="8"/>
        <v>3713.2370266479661</v>
      </c>
      <c r="AT26" s="33">
        <f t="shared" si="9"/>
        <v>45.254257663794832</v>
      </c>
      <c r="AU26" s="33">
        <f t="shared" si="10"/>
        <v>1339.391304347826</v>
      </c>
      <c r="AV26" s="33">
        <f t="shared" si="44"/>
        <v>646.29773592466438</v>
      </c>
      <c r="AW26" s="33">
        <f t="shared" si="11"/>
        <v>5097.8825886595869</v>
      </c>
      <c r="AX26" s="33">
        <f t="shared" si="12"/>
        <v>7275.0951713083559</v>
      </c>
      <c r="AY26" s="33">
        <f t="shared" si="45"/>
        <v>0</v>
      </c>
      <c r="AZ26" s="33">
        <f t="shared" si="46"/>
        <v>0</v>
      </c>
      <c r="BA26" s="38"/>
      <c r="BB26" s="32">
        <f t="shared" si="13"/>
        <v>8559.7599829208702</v>
      </c>
      <c r="BC26" s="32">
        <f t="shared" si="14"/>
        <v>104.32018775731801</v>
      </c>
      <c r="BD26" s="32">
        <f t="shared" si="15"/>
        <v>3087.5669950911642</v>
      </c>
      <c r="BE26" s="32">
        <f t="shared" si="16"/>
        <v>16770.561122924493</v>
      </c>
      <c r="BF26" s="32">
        <f t="shared" si="47"/>
        <v>1489.8465832692395</v>
      </c>
      <c r="BG26" s="32">
        <f t="shared" si="48"/>
        <v>13241.493749038591</v>
      </c>
      <c r="BH26" s="32">
        <f t="shared" si="17"/>
        <v>0</v>
      </c>
      <c r="BI26" s="32">
        <f t="shared" si="49"/>
        <v>0</v>
      </c>
      <c r="BJ26" s="32">
        <f t="shared" si="55"/>
        <v>3529.0673738859023</v>
      </c>
      <c r="BK26" s="32"/>
      <c r="BM26" s="32">
        <v>441.84109999999998</v>
      </c>
      <c r="BN26" s="32">
        <v>1.96</v>
      </c>
      <c r="BO26" s="32">
        <v>226.8235</v>
      </c>
      <c r="BP26" s="34">
        <f t="shared" si="18"/>
        <v>4301.6246000000001</v>
      </c>
      <c r="BQ26" s="34">
        <f t="shared" si="51"/>
        <v>2295.1176999999998</v>
      </c>
      <c r="BR26" s="34">
        <f t="shared" si="51"/>
        <v>24.546400000000002</v>
      </c>
      <c r="BS26" s="34">
        <f t="shared" si="52"/>
        <v>895.31369999999993</v>
      </c>
      <c r="BU26" s="34">
        <f t="shared" si="19"/>
        <v>1018.5328163669354</v>
      </c>
      <c r="BV26" s="34">
        <f t="shared" si="20"/>
        <v>4.5181951612903228</v>
      </c>
      <c r="BW26" s="35">
        <f t="shared" si="21"/>
        <v>522.87389804435486</v>
      </c>
      <c r="BX26" s="34">
        <f t="shared" si="50"/>
        <v>743.5824297096774</v>
      </c>
      <c r="BY26" s="34">
        <f t="shared" si="22"/>
        <v>9916.111966024193</v>
      </c>
      <c r="CA26" s="34">
        <f t="shared" si="23"/>
        <v>2040.7389628670317</v>
      </c>
      <c r="CB26" s="35">
        <f t="shared" si="24"/>
        <v>9.0526851558611963</v>
      </c>
      <c r="CC26" s="34">
        <f t="shared" si="25"/>
        <v>1047.6335364543274</v>
      </c>
      <c r="CD26" s="34">
        <f t="shared" si="26"/>
        <v>1489.8465832692395</v>
      </c>
      <c r="CE26" s="34">
        <f t="shared" si="27"/>
        <v>19867.986307401708</v>
      </c>
      <c r="CG26" s="34">
        <f t="shared" si="28"/>
        <v>10600.498945787902</v>
      </c>
      <c r="CH26" s="34">
        <f t="shared" si="28"/>
        <v>113.37287291317921</v>
      </c>
      <c r="CI26" s="34">
        <f t="shared" si="28"/>
        <v>4135.2005315454917</v>
      </c>
      <c r="CJ26" s="34">
        <f t="shared" si="29"/>
        <v>1489.8465832692395</v>
      </c>
      <c r="CK26" s="34">
        <f t="shared" si="30"/>
        <v>21357.832890670947</v>
      </c>
      <c r="CL26" s="34">
        <f t="shared" si="31"/>
        <v>14849.072350246573</v>
      </c>
      <c r="CM26" s="34">
        <f t="shared" si="32"/>
        <v>1607.5786012079825</v>
      </c>
      <c r="CO26" s="34">
        <f t="shared" si="33"/>
        <v>8618.7629733520334</v>
      </c>
      <c r="CP26" s="34">
        <f t="shared" si="34"/>
        <v>9265.0607092766968</v>
      </c>
      <c r="CQ26" s="34">
        <f t="shared" si="35"/>
        <v>646.29773592466449</v>
      </c>
      <c r="CR26" s="34">
        <f t="shared" si="36"/>
        <v>697.37006611901495</v>
      </c>
      <c r="CS26" s="34">
        <f t="shared" si="37"/>
        <v>5744.1803245842511</v>
      </c>
    </row>
    <row r="27" spans="1:97" x14ac:dyDescent="0.25">
      <c r="A27" s="14" t="s">
        <v>116</v>
      </c>
      <c r="B27" t="s">
        <v>115</v>
      </c>
      <c r="C27" s="15">
        <v>524000</v>
      </c>
      <c r="D27" s="36">
        <v>103.3</v>
      </c>
      <c r="E27" s="17">
        <f t="shared" si="56"/>
        <v>4.1330645161290258E-2</v>
      </c>
      <c r="F27" s="37">
        <f t="shared" si="53"/>
        <v>2.2137076476282673</v>
      </c>
      <c r="G27" s="18">
        <f>30.5-2.5</f>
        <v>28</v>
      </c>
      <c r="H27" s="19">
        <v>131</v>
      </c>
      <c r="I27" s="19">
        <v>265.10000000000002</v>
      </c>
      <c r="J27" s="20">
        <v>1393.1</v>
      </c>
      <c r="K27" s="19"/>
      <c r="L27" s="19"/>
      <c r="M27" s="19">
        <v>1058.5</v>
      </c>
      <c r="N27" s="19">
        <v>13.9</v>
      </c>
      <c r="O27" s="19"/>
      <c r="P27" s="21">
        <f t="shared" si="0"/>
        <v>2861.6</v>
      </c>
      <c r="Q27" s="20">
        <f t="shared" si="54"/>
        <v>18643.2</v>
      </c>
      <c r="R27" s="20">
        <v>528.5</v>
      </c>
      <c r="S27" s="20"/>
      <c r="T27" s="22">
        <f t="shared" si="38"/>
        <v>3390.1</v>
      </c>
      <c r="U27" s="23">
        <f t="shared" si="1"/>
        <v>0.84410489366095398</v>
      </c>
      <c r="V27" s="24"/>
      <c r="W27" s="20">
        <v>0</v>
      </c>
      <c r="X27" s="24"/>
      <c r="Z27" s="26">
        <v>1787.7156</v>
      </c>
      <c r="AA27" s="29">
        <v>192.64080000000001</v>
      </c>
      <c r="AB27" s="28">
        <f t="shared" si="39"/>
        <v>1980.3564000000001</v>
      </c>
      <c r="AC27" s="29">
        <v>869.59450000000004</v>
      </c>
      <c r="AD27" s="39">
        <v>179.02</v>
      </c>
      <c r="AE27" s="28">
        <f t="shared" si="2"/>
        <v>2849.9509000000003</v>
      </c>
      <c r="AF27" s="30"/>
      <c r="AG27" s="40">
        <v>1.5824</v>
      </c>
      <c r="AH27" s="31">
        <f t="shared" si="40"/>
        <v>538.56669999999963</v>
      </c>
      <c r="AI27" s="28">
        <f t="shared" si="41"/>
        <v>540.14909999999963</v>
      </c>
      <c r="AK27" s="32">
        <f t="shared" si="3"/>
        <v>3957.4796955043566</v>
      </c>
      <c r="AL27" s="32">
        <f t="shared" si="4"/>
        <v>426.45041220522756</v>
      </c>
      <c r="AM27" s="32">
        <f t="shared" si="5"/>
        <v>1925.0279949854794</v>
      </c>
      <c r="AN27" s="32">
        <f t="shared" si="42"/>
        <v>396.29794307841246</v>
      </c>
      <c r="AO27" s="32">
        <f t="shared" si="6"/>
        <v>7504.6902962245886</v>
      </c>
      <c r="AP27" s="33">
        <f t="shared" si="7"/>
        <v>0</v>
      </c>
      <c r="AQ27" s="33">
        <f t="shared" si="43"/>
        <v>0</v>
      </c>
      <c r="AS27" s="33">
        <f t="shared" si="8"/>
        <v>3411.6709923664121</v>
      </c>
      <c r="AT27" s="33">
        <f t="shared" si="9"/>
        <v>367.63511450381679</v>
      </c>
      <c r="AU27" s="33">
        <f t="shared" si="10"/>
        <v>1659.5314885496184</v>
      </c>
      <c r="AV27" s="33">
        <f t="shared" si="44"/>
        <v>341.64122137404581</v>
      </c>
      <c r="AW27" s="33">
        <f t="shared" si="11"/>
        <v>5438.8375954198473</v>
      </c>
      <c r="AX27" s="33">
        <f t="shared" si="12"/>
        <v>6469.6564885496182</v>
      </c>
      <c r="AY27" s="33">
        <f t="shared" si="45"/>
        <v>0</v>
      </c>
      <c r="AZ27" s="33">
        <f t="shared" si="46"/>
        <v>0</v>
      </c>
      <c r="BA27" s="38"/>
      <c r="BB27" s="32">
        <f t="shared" si="13"/>
        <v>7552.4421669930471</v>
      </c>
      <c r="BC27" s="32">
        <f t="shared" si="14"/>
        <v>813.83666451379304</v>
      </c>
      <c r="BD27" s="32">
        <f t="shared" si="15"/>
        <v>3673.7175476822126</v>
      </c>
      <c r="BE27" s="32">
        <f t="shared" si="16"/>
        <v>14321.92804623013</v>
      </c>
      <c r="BF27" s="32">
        <f t="shared" si="47"/>
        <v>756.29378450078707</v>
      </c>
      <c r="BG27" s="32">
        <f t="shared" si="48"/>
        <v>12796.290163689839</v>
      </c>
      <c r="BH27" s="32">
        <f t="shared" si="17"/>
        <v>0</v>
      </c>
      <c r="BI27" s="32">
        <f t="shared" si="49"/>
        <v>0</v>
      </c>
      <c r="BJ27" s="32">
        <f t="shared" si="55"/>
        <v>1525.6378825402917</v>
      </c>
      <c r="BK27" s="32"/>
      <c r="BM27" s="32">
        <v>351.09399999999999</v>
      </c>
      <c r="BN27" s="32">
        <v>1.9650000000000001</v>
      </c>
      <c r="BO27" s="32">
        <v>374.5677</v>
      </c>
      <c r="BP27" s="34">
        <f t="shared" si="18"/>
        <v>4117.7267000000002</v>
      </c>
      <c r="BQ27" s="34">
        <f t="shared" si="51"/>
        <v>2138.8096</v>
      </c>
      <c r="BR27" s="34">
        <f t="shared" si="51"/>
        <v>194.60580000000002</v>
      </c>
      <c r="BS27" s="34">
        <f t="shared" si="52"/>
        <v>1244.1622</v>
      </c>
      <c r="BU27" s="34">
        <f t="shared" si="19"/>
        <v>777.21947283639884</v>
      </c>
      <c r="BV27" s="34">
        <f t="shared" si="20"/>
        <v>4.3499355275895457</v>
      </c>
      <c r="BW27" s="35">
        <f t="shared" si="21"/>
        <v>829.1833820445305</v>
      </c>
      <c r="BX27" s="34">
        <f t="shared" si="50"/>
        <v>396.29794307841246</v>
      </c>
      <c r="BY27" s="34">
        <f t="shared" si="22"/>
        <v>9115.4430866331077</v>
      </c>
      <c r="CA27" s="34">
        <f t="shared" si="23"/>
        <v>1483.2432687717535</v>
      </c>
      <c r="CB27" s="35">
        <f t="shared" si="24"/>
        <v>8.3014036786060021</v>
      </c>
      <c r="CC27" s="34">
        <f t="shared" si="25"/>
        <v>1582.4110344361268</v>
      </c>
      <c r="CD27" s="34">
        <f t="shared" si="26"/>
        <v>756.29378450078707</v>
      </c>
      <c r="CE27" s="34">
        <f t="shared" si="27"/>
        <v>17395.883753116617</v>
      </c>
      <c r="CG27" s="34">
        <f t="shared" si="28"/>
        <v>9035.6854357648008</v>
      </c>
      <c r="CH27" s="34">
        <f t="shared" si="28"/>
        <v>822.13806819239903</v>
      </c>
      <c r="CI27" s="34">
        <f t="shared" si="28"/>
        <v>5256.1285821183392</v>
      </c>
      <c r="CJ27" s="34">
        <f t="shared" si="29"/>
        <v>756.29378450078707</v>
      </c>
      <c r="CK27" s="34">
        <f t="shared" si="30"/>
        <v>18152.177537617405</v>
      </c>
      <c r="CL27" s="34">
        <f t="shared" si="31"/>
        <v>15113.952086075538</v>
      </c>
      <c r="CM27" s="34">
        <f t="shared" si="32"/>
        <v>2317.6619223856997</v>
      </c>
      <c r="CO27" s="34">
        <f t="shared" si="33"/>
        <v>7858.2570610687017</v>
      </c>
      <c r="CP27" s="34">
        <f t="shared" si="34"/>
        <v>8199.8982824427476</v>
      </c>
      <c r="CQ27" s="34">
        <f t="shared" si="35"/>
        <v>341.64122137404581</v>
      </c>
      <c r="CR27" s="34">
        <f t="shared" si="36"/>
        <v>1046.9593511450382</v>
      </c>
      <c r="CS27" s="34">
        <f t="shared" si="37"/>
        <v>5780.4788167938932</v>
      </c>
    </row>
    <row r="28" spans="1:97" x14ac:dyDescent="0.25">
      <c r="A28" s="14" t="s">
        <v>117</v>
      </c>
      <c r="B28" t="s">
        <v>115</v>
      </c>
      <c r="C28" s="15">
        <v>543900</v>
      </c>
      <c r="D28" s="36">
        <v>105.8</v>
      </c>
      <c r="E28" s="17">
        <f t="shared" si="56"/>
        <v>2.4201355275895509E-2</v>
      </c>
      <c r="F28" s="37">
        <f t="shared" si="53"/>
        <v>2.1613988657844989</v>
      </c>
      <c r="G28" s="18">
        <f>27.94-2.5</f>
        <v>25.44</v>
      </c>
      <c r="H28" s="19">
        <v>128.4</v>
      </c>
      <c r="I28" s="19">
        <v>168.6</v>
      </c>
      <c r="J28" s="20">
        <v>1389.4</v>
      </c>
      <c r="K28" s="19"/>
      <c r="L28" s="19"/>
      <c r="M28" s="19">
        <v>1042.2</v>
      </c>
      <c r="N28" s="19">
        <v>14.9</v>
      </c>
      <c r="O28" s="19"/>
      <c r="P28" s="21">
        <f t="shared" si="0"/>
        <v>2743.5000000000005</v>
      </c>
      <c r="Q28" s="20">
        <f t="shared" si="54"/>
        <v>21386.7</v>
      </c>
      <c r="R28" s="20">
        <v>516.5</v>
      </c>
      <c r="S28" s="20"/>
      <c r="T28" s="22">
        <f t="shared" si="38"/>
        <v>3260.0000000000005</v>
      </c>
      <c r="U28" s="23">
        <f t="shared" si="1"/>
        <v>0.84156441717791408</v>
      </c>
      <c r="V28" s="24"/>
      <c r="W28" s="20">
        <v>314.69670000000002</v>
      </c>
      <c r="X28" s="24"/>
      <c r="Z28" s="26">
        <v>2155.2887000000001</v>
      </c>
      <c r="AA28" s="29">
        <v>108.6778</v>
      </c>
      <c r="AB28" s="28">
        <f t="shared" si="39"/>
        <v>2263.9665</v>
      </c>
      <c r="AC28" s="29">
        <v>836.49019999999996</v>
      </c>
      <c r="AD28" s="39">
        <v>314.69670000000002</v>
      </c>
      <c r="AE28" s="28">
        <f t="shared" si="2"/>
        <v>3100.4566999999997</v>
      </c>
      <c r="AF28" s="30"/>
      <c r="AG28" s="40">
        <v>280.18830000000003</v>
      </c>
      <c r="AH28" s="31">
        <f t="shared" si="40"/>
        <v>-120.6449999999993</v>
      </c>
      <c r="AI28" s="28">
        <f t="shared" si="41"/>
        <v>159.54330000000073</v>
      </c>
      <c r="AK28" s="32">
        <f t="shared" si="3"/>
        <v>4658.4385516181474</v>
      </c>
      <c r="AL28" s="32">
        <f t="shared" si="4"/>
        <v>234.89607365595464</v>
      </c>
      <c r="AM28" s="32">
        <f t="shared" si="5"/>
        <v>1807.9889695198485</v>
      </c>
      <c r="AN28" s="32">
        <f t="shared" si="42"/>
        <v>680.18509044612472</v>
      </c>
      <c r="AO28" s="32">
        <f t="shared" si="6"/>
        <v>7046.1603024574679</v>
      </c>
      <c r="AP28" s="33">
        <f t="shared" si="7"/>
        <v>0</v>
      </c>
      <c r="AQ28" s="33">
        <f t="shared" si="43"/>
        <v>680.18509044612472</v>
      </c>
      <c r="AS28" s="33">
        <f t="shared" si="8"/>
        <v>3962.6561867990436</v>
      </c>
      <c r="AT28" s="33">
        <f t="shared" si="9"/>
        <v>199.81209781209779</v>
      </c>
      <c r="AU28" s="33">
        <f t="shared" si="10"/>
        <v>1537.9485199485198</v>
      </c>
      <c r="AV28" s="33">
        <f t="shared" si="44"/>
        <v>578.59293987865419</v>
      </c>
      <c r="AW28" s="33">
        <f t="shared" si="11"/>
        <v>5700.4168045596607</v>
      </c>
      <c r="AX28" s="33">
        <f t="shared" si="12"/>
        <v>5993.7488508917086</v>
      </c>
      <c r="AY28" s="33">
        <f t="shared" si="45"/>
        <v>0</v>
      </c>
      <c r="AZ28" s="33">
        <f t="shared" si="46"/>
        <v>578.59293987865419</v>
      </c>
      <c r="BA28" s="38"/>
      <c r="BB28" s="32">
        <f t="shared" si="13"/>
        <v>8564.8805876413808</v>
      </c>
      <c r="BC28" s="32">
        <f t="shared" si="14"/>
        <v>431.87364158108954</v>
      </c>
      <c r="BD28" s="32">
        <f t="shared" si="15"/>
        <v>3324.1201866516794</v>
      </c>
      <c r="BE28" s="32">
        <f t="shared" si="16"/>
        <v>12954.881968114483</v>
      </c>
      <c r="BF28" s="32">
        <f t="shared" si="47"/>
        <v>1250.5701240046417</v>
      </c>
      <c r="BG28" s="32">
        <f t="shared" si="48"/>
        <v>13571.444539878792</v>
      </c>
      <c r="BH28" s="32">
        <f t="shared" si="17"/>
        <v>0</v>
      </c>
      <c r="BI28" s="32">
        <f t="shared" si="49"/>
        <v>1250.5701240046417</v>
      </c>
      <c r="BJ28" s="32">
        <f t="shared" si="55"/>
        <v>634.00755224033287</v>
      </c>
      <c r="BK28" s="32"/>
      <c r="BM28" s="32">
        <v>420.26229999999998</v>
      </c>
      <c r="BN28" s="32">
        <v>5.5655999999999999</v>
      </c>
      <c r="BO28" s="32">
        <v>171.12860000000001</v>
      </c>
      <c r="BP28" s="34">
        <f t="shared" si="18"/>
        <v>3856.9565000000002</v>
      </c>
      <c r="BQ28" s="34">
        <f t="shared" si="51"/>
        <v>2575.5509999999999</v>
      </c>
      <c r="BR28" s="34">
        <f t="shared" si="51"/>
        <v>114.24340000000001</v>
      </c>
      <c r="BS28" s="34">
        <f t="shared" si="52"/>
        <v>1007.6188</v>
      </c>
      <c r="BU28" s="34">
        <f t="shared" si="19"/>
        <v>908.35445855198475</v>
      </c>
      <c r="BV28" s="34">
        <f t="shared" si="20"/>
        <v>12.029481527410207</v>
      </c>
      <c r="BW28" s="35">
        <f t="shared" si="21"/>
        <v>369.8771619432892</v>
      </c>
      <c r="BX28" s="34">
        <f t="shared" si="50"/>
        <v>680.18509044612472</v>
      </c>
      <c r="BY28" s="34">
        <f t="shared" si="22"/>
        <v>8336.421404480152</v>
      </c>
      <c r="CA28" s="34">
        <f t="shared" si="23"/>
        <v>1670.0762245853734</v>
      </c>
      <c r="CB28" s="35">
        <f t="shared" si="24"/>
        <v>22.117083153907345</v>
      </c>
      <c r="CC28" s="34">
        <f t="shared" si="25"/>
        <v>680.04626207628087</v>
      </c>
      <c r="CD28" s="34">
        <f t="shared" si="26"/>
        <v>1250.5701240046417</v>
      </c>
      <c r="CE28" s="34">
        <f t="shared" si="27"/>
        <v>15327.121537930045</v>
      </c>
      <c r="CG28" s="34">
        <f t="shared" si="28"/>
        <v>10234.956812226754</v>
      </c>
      <c r="CH28" s="34">
        <f t="shared" si="28"/>
        <v>453.99072473499689</v>
      </c>
      <c r="CI28" s="34">
        <f t="shared" si="28"/>
        <v>4004.1664487279604</v>
      </c>
      <c r="CJ28" s="34">
        <f t="shared" si="29"/>
        <v>1250.5701240046417</v>
      </c>
      <c r="CK28" s="34">
        <f t="shared" si="30"/>
        <v>16577.691661934685</v>
      </c>
      <c r="CL28" s="34">
        <f t="shared" si="31"/>
        <v>14693.11398568971</v>
      </c>
      <c r="CM28" s="34">
        <f t="shared" si="32"/>
        <v>1121.6694458109178</v>
      </c>
      <c r="CO28" s="34">
        <f t="shared" si="33"/>
        <v>7091.2971134399713</v>
      </c>
      <c r="CP28" s="34">
        <f t="shared" si="34"/>
        <v>7669.8900533186243</v>
      </c>
      <c r="CQ28" s="34">
        <f t="shared" si="35"/>
        <v>578.59293987865419</v>
      </c>
      <c r="CR28" s="34">
        <f t="shared" si="36"/>
        <v>518.9553226696072</v>
      </c>
      <c r="CS28" s="34">
        <f t="shared" si="37"/>
        <v>6279.0097444383155</v>
      </c>
    </row>
    <row r="29" spans="1:97" x14ac:dyDescent="0.25">
      <c r="A29" s="14" t="s">
        <v>118</v>
      </c>
      <c r="B29" t="s">
        <v>115</v>
      </c>
      <c r="C29" s="15">
        <v>550700</v>
      </c>
      <c r="D29" s="36">
        <v>107.8</v>
      </c>
      <c r="E29" s="17">
        <f t="shared" si="56"/>
        <v>1.8903591682419618E-2</v>
      </c>
      <c r="F29" s="37">
        <f t="shared" si="53"/>
        <v>2.1212987012987012</v>
      </c>
      <c r="G29" s="18">
        <f>21.97-2.5</f>
        <v>19.47</v>
      </c>
      <c r="H29" s="19">
        <v>113.5</v>
      </c>
      <c r="I29" s="19">
        <v>133.9</v>
      </c>
      <c r="J29" s="20">
        <v>1107.9000000000001</v>
      </c>
      <c r="K29" s="19"/>
      <c r="L29" s="19"/>
      <c r="M29" s="19">
        <v>845</v>
      </c>
      <c r="N29" s="19">
        <v>38.9</v>
      </c>
      <c r="O29" s="19">
        <v>418.2</v>
      </c>
      <c r="P29" s="21">
        <f t="shared" si="0"/>
        <v>2657.4</v>
      </c>
      <c r="Q29" s="20">
        <f t="shared" si="54"/>
        <v>24044.100000000002</v>
      </c>
      <c r="R29" s="20">
        <v>418.1</v>
      </c>
      <c r="S29" s="20"/>
      <c r="T29" s="22">
        <f t="shared" si="38"/>
        <v>3075.5</v>
      </c>
      <c r="U29" s="23">
        <f t="shared" si="1"/>
        <v>0.86405462526418475</v>
      </c>
      <c r="V29" s="24"/>
      <c r="W29" s="20">
        <v>217.274</v>
      </c>
      <c r="X29" s="24"/>
      <c r="Z29" s="26">
        <v>1937.3710000000001</v>
      </c>
      <c r="AA29" s="29">
        <v>365.2724</v>
      </c>
      <c r="AB29" s="28">
        <f t="shared" si="39"/>
        <v>2302.6433999999999</v>
      </c>
      <c r="AC29" s="29">
        <v>552.03809999999999</v>
      </c>
      <c r="AD29" s="39">
        <v>217.274</v>
      </c>
      <c r="AE29" s="28">
        <f t="shared" si="2"/>
        <v>2854.6814999999997</v>
      </c>
      <c r="AF29" s="30"/>
      <c r="AG29" s="40">
        <v>-120.7534</v>
      </c>
      <c r="AH29" s="31">
        <f t="shared" si="40"/>
        <v>341.57190000000031</v>
      </c>
      <c r="AI29" s="28">
        <f t="shared" si="41"/>
        <v>220.81850000000031</v>
      </c>
      <c r="AK29" s="32">
        <f t="shared" si="3"/>
        <v>4109.7425862337659</v>
      </c>
      <c r="AL29" s="32">
        <f t="shared" si="4"/>
        <v>774.85186774025976</v>
      </c>
      <c r="AM29" s="32">
        <f t="shared" si="5"/>
        <v>1171.0377045974026</v>
      </c>
      <c r="AN29" s="32">
        <f t="shared" si="42"/>
        <v>460.90305402597403</v>
      </c>
      <c r="AO29" s="32">
        <f t="shared" si="6"/>
        <v>6524.0541558441555</v>
      </c>
      <c r="AP29" s="33">
        <f t="shared" si="7"/>
        <v>0</v>
      </c>
      <c r="AQ29" s="33">
        <f t="shared" si="43"/>
        <v>460.90305402597403</v>
      </c>
      <c r="AS29" s="33">
        <f t="shared" si="8"/>
        <v>3518.0152533139644</v>
      </c>
      <c r="AT29" s="33">
        <f t="shared" si="9"/>
        <v>663.28745233339396</v>
      </c>
      <c r="AU29" s="33">
        <f t="shared" si="10"/>
        <v>1002.4298165970583</v>
      </c>
      <c r="AV29" s="33">
        <f t="shared" si="44"/>
        <v>394.54149264572362</v>
      </c>
      <c r="AW29" s="33">
        <f t="shared" si="11"/>
        <v>5183.7325222444169</v>
      </c>
      <c r="AX29" s="33">
        <f t="shared" si="12"/>
        <v>5584.7103686217542</v>
      </c>
      <c r="AY29" s="33">
        <f t="shared" si="45"/>
        <v>0</v>
      </c>
      <c r="AZ29" s="33">
        <f t="shared" si="46"/>
        <v>394.54149264572362</v>
      </c>
      <c r="BA29" s="38"/>
      <c r="BB29" s="32">
        <f t="shared" si="13"/>
        <v>7462.7611880039331</v>
      </c>
      <c r="BC29" s="32">
        <f t="shared" si="14"/>
        <v>1407.0308112225528</v>
      </c>
      <c r="BD29" s="32">
        <f t="shared" si="15"/>
        <v>2126.453068090435</v>
      </c>
      <c r="BE29" s="32">
        <f t="shared" si="16"/>
        <v>11846.838852086719</v>
      </c>
      <c r="BF29" s="32">
        <f t="shared" si="47"/>
        <v>836.94035595782464</v>
      </c>
      <c r="BG29" s="32">
        <f t="shared" si="48"/>
        <v>11833.185423274745</v>
      </c>
      <c r="BH29" s="32">
        <f t="shared" si="17"/>
        <v>0</v>
      </c>
      <c r="BI29" s="32">
        <f t="shared" si="49"/>
        <v>836.94035595782464</v>
      </c>
      <c r="BJ29" s="32">
        <f t="shared" si="55"/>
        <v>850.5937847697993</v>
      </c>
      <c r="BK29" s="32"/>
      <c r="BM29" s="32">
        <v>431.8338</v>
      </c>
      <c r="BN29" s="32">
        <v>5.5563000000000002</v>
      </c>
      <c r="BO29" s="32">
        <v>376.38709999999998</v>
      </c>
      <c r="BP29" s="34">
        <f t="shared" si="18"/>
        <v>3889.2772</v>
      </c>
      <c r="BQ29" s="34">
        <f t="shared" si="51"/>
        <v>2369.2048</v>
      </c>
      <c r="BR29" s="34">
        <f t="shared" si="51"/>
        <v>370.82870000000003</v>
      </c>
      <c r="BS29" s="34">
        <f t="shared" si="52"/>
        <v>928.4251999999999</v>
      </c>
      <c r="BU29" s="34">
        <f t="shared" si="19"/>
        <v>916.04847911688307</v>
      </c>
      <c r="BV29" s="34">
        <f t="shared" si="20"/>
        <v>11.786571974025975</v>
      </c>
      <c r="BW29" s="35">
        <f t="shared" si="21"/>
        <v>798.42946641558433</v>
      </c>
      <c r="BX29" s="34">
        <f t="shared" si="50"/>
        <v>460.90305402597403</v>
      </c>
      <c r="BY29" s="34">
        <f t="shared" si="22"/>
        <v>8250.31867335065</v>
      </c>
      <c r="CA29" s="34">
        <f t="shared" si="23"/>
        <v>1663.425602173385</v>
      </c>
      <c r="CB29" s="35">
        <f t="shared" si="24"/>
        <v>21.40289081900486</v>
      </c>
      <c r="CC29" s="34">
        <f t="shared" si="25"/>
        <v>1449.844682069338</v>
      </c>
      <c r="CD29" s="34">
        <f t="shared" si="26"/>
        <v>836.94035595782464</v>
      </c>
      <c r="CE29" s="34">
        <f t="shared" si="27"/>
        <v>14981.512027148448</v>
      </c>
      <c r="CG29" s="34">
        <f t="shared" si="28"/>
        <v>9126.1867901773185</v>
      </c>
      <c r="CH29" s="34">
        <f t="shared" si="28"/>
        <v>1428.4337020415576</v>
      </c>
      <c r="CI29" s="34">
        <f t="shared" si="28"/>
        <v>3576.2977501597729</v>
      </c>
      <c r="CJ29" s="34">
        <f t="shared" si="29"/>
        <v>836.94035595782464</v>
      </c>
      <c r="CK29" s="34">
        <f t="shared" si="30"/>
        <v>15818.452383106272</v>
      </c>
      <c r="CL29" s="34">
        <f t="shared" si="31"/>
        <v>14130.918242378648</v>
      </c>
      <c r="CM29" s="34">
        <f t="shared" si="32"/>
        <v>2297.7328191039032</v>
      </c>
      <c r="CO29" s="34">
        <f t="shared" si="33"/>
        <v>7062.424550572</v>
      </c>
      <c r="CP29" s="34">
        <f t="shared" si="34"/>
        <v>7456.9660432177243</v>
      </c>
      <c r="CQ29" s="34">
        <f t="shared" si="35"/>
        <v>394.54149264572362</v>
      </c>
      <c r="CR29" s="34">
        <f t="shared" si="36"/>
        <v>1083.1726893045216</v>
      </c>
      <c r="CS29" s="34">
        <f t="shared" si="37"/>
        <v>5578.2740148901394</v>
      </c>
    </row>
    <row r="30" spans="1:97" x14ac:dyDescent="0.25">
      <c r="A30" s="14" t="s">
        <v>119</v>
      </c>
      <c r="B30" t="s">
        <v>120</v>
      </c>
      <c r="C30" s="15">
        <v>541300</v>
      </c>
      <c r="D30" s="36">
        <v>108.2</v>
      </c>
      <c r="E30" s="17">
        <f t="shared" si="56"/>
        <v>3.7105751391466324E-3</v>
      </c>
      <c r="F30" s="37">
        <f t="shared" si="53"/>
        <v>2.1134565619223658</v>
      </c>
      <c r="G30" s="18">
        <v>17.57</v>
      </c>
      <c r="H30" s="19">
        <v>102.5</v>
      </c>
      <c r="I30" s="19">
        <v>120.4</v>
      </c>
      <c r="J30" s="20">
        <v>648.5</v>
      </c>
      <c r="K30" s="19"/>
      <c r="L30" s="19"/>
      <c r="M30" s="19">
        <v>448.3</v>
      </c>
      <c r="N30" s="19">
        <v>4.3</v>
      </c>
      <c r="O30" s="19">
        <v>70.5</v>
      </c>
      <c r="P30" s="21">
        <f t="shared" si="0"/>
        <v>1394.5</v>
      </c>
      <c r="Q30" s="20">
        <f t="shared" si="54"/>
        <v>25438.600000000002</v>
      </c>
      <c r="R30" s="20">
        <v>404.9</v>
      </c>
      <c r="S30" s="20"/>
      <c r="T30" s="22">
        <f t="shared" si="38"/>
        <v>1799.4</v>
      </c>
      <c r="U30" s="23">
        <f t="shared" si="1"/>
        <v>0.77498054907191283</v>
      </c>
      <c r="V30" s="24"/>
      <c r="W30" s="20">
        <v>303.42500000000001</v>
      </c>
      <c r="X30" s="24"/>
      <c r="Z30" s="26">
        <v>1882.9648999999999</v>
      </c>
      <c r="AA30" s="29">
        <v>313.35989999999998</v>
      </c>
      <c r="AB30" s="28">
        <f t="shared" si="39"/>
        <v>2196.3247999999999</v>
      </c>
      <c r="AC30" s="29">
        <v>215.58009999999999</v>
      </c>
      <c r="AD30" s="39">
        <v>303.42500000000001</v>
      </c>
      <c r="AE30" s="28">
        <f t="shared" si="2"/>
        <v>2411.9049</v>
      </c>
      <c r="AF30" s="30"/>
      <c r="AG30" s="40">
        <v>36</v>
      </c>
      <c r="AH30" s="31">
        <f t="shared" si="40"/>
        <v>-648.50489999999991</v>
      </c>
      <c r="AI30" s="28">
        <f t="shared" si="41"/>
        <v>-612.50489999999991</v>
      </c>
      <c r="AK30" s="32">
        <f t="shared" si="3"/>
        <v>3979.5645237744911</v>
      </c>
      <c r="AL30" s="32">
        <f t="shared" si="4"/>
        <v>662.27253689833628</v>
      </c>
      <c r="AM30" s="32">
        <f t="shared" si="5"/>
        <v>455.61917696487978</v>
      </c>
      <c r="AN30" s="32">
        <f t="shared" si="42"/>
        <v>641.27555730129382</v>
      </c>
      <c r="AO30" s="32">
        <f t="shared" si="6"/>
        <v>3802.9537375231052</v>
      </c>
      <c r="AP30" s="33">
        <f t="shared" si="7"/>
        <v>0</v>
      </c>
      <c r="AQ30" s="33">
        <f t="shared" si="43"/>
        <v>641.27555730129382</v>
      </c>
      <c r="AS30" s="33">
        <f t="shared" si="8"/>
        <v>3478.5976353223718</v>
      </c>
      <c r="AT30" s="33">
        <f t="shared" si="9"/>
        <v>578.90245704784775</v>
      </c>
      <c r="AU30" s="33">
        <f t="shared" si="10"/>
        <v>398.26362460742655</v>
      </c>
      <c r="AV30" s="33">
        <f t="shared" si="44"/>
        <v>560.54867910585631</v>
      </c>
      <c r="AW30" s="33">
        <f t="shared" si="11"/>
        <v>4455.7637169776463</v>
      </c>
      <c r="AX30" s="33">
        <f t="shared" si="12"/>
        <v>3324.2194716423428</v>
      </c>
      <c r="AY30" s="33">
        <f t="shared" si="45"/>
        <v>0</v>
      </c>
      <c r="AZ30" s="33">
        <f t="shared" si="46"/>
        <v>560.54867910585631</v>
      </c>
      <c r="BA30" s="38"/>
      <c r="BB30" s="32">
        <f t="shared" si="13"/>
        <v>7351.864998659692</v>
      </c>
      <c r="BC30" s="32">
        <f t="shared" si="14"/>
        <v>1223.4851965607543</v>
      </c>
      <c r="BD30" s="32">
        <f t="shared" si="15"/>
        <v>841.71287080155139</v>
      </c>
      <c r="BE30" s="32">
        <f t="shared" si="16"/>
        <v>7025.5934556126085</v>
      </c>
      <c r="BF30" s="32">
        <f t="shared" si="47"/>
        <v>1184.6952841331865</v>
      </c>
      <c r="BG30" s="32">
        <f t="shared" si="48"/>
        <v>10601.758350155184</v>
      </c>
      <c r="BH30" s="32">
        <f t="shared" si="17"/>
        <v>0</v>
      </c>
      <c r="BI30" s="32">
        <f t="shared" si="49"/>
        <v>1184.6952841331865</v>
      </c>
      <c r="BJ30" s="32">
        <f t="shared" si="55"/>
        <v>-2391.4696104093882</v>
      </c>
      <c r="BK30" s="32"/>
      <c r="BM30" s="32">
        <v>490.09840000000003</v>
      </c>
      <c r="BN30" s="32">
        <v>10.178900000000001</v>
      </c>
      <c r="BO30" s="32">
        <v>387.79880000000003</v>
      </c>
      <c r="BP30" s="34">
        <f t="shared" si="18"/>
        <v>2687.4760999999999</v>
      </c>
      <c r="BQ30" s="34">
        <f t="shared" si="51"/>
        <v>2373.0632999999998</v>
      </c>
      <c r="BR30" s="34">
        <f t="shared" si="51"/>
        <v>323.53879999999998</v>
      </c>
      <c r="BS30" s="34">
        <f t="shared" si="52"/>
        <v>603.37890000000004</v>
      </c>
      <c r="BU30" s="34">
        <f t="shared" si="19"/>
        <v>1035.8016794676525</v>
      </c>
      <c r="BV30" s="34">
        <f t="shared" si="20"/>
        <v>21.512662998151569</v>
      </c>
      <c r="BW30" s="35">
        <f t="shared" si="21"/>
        <v>819.59591856561917</v>
      </c>
      <c r="BX30" s="34">
        <f t="shared" si="50"/>
        <v>641.27555730129382</v>
      </c>
      <c r="BY30" s="34">
        <f t="shared" si="22"/>
        <v>5679.8639985545278</v>
      </c>
      <c r="CA30" s="34">
        <f t="shared" si="23"/>
        <v>1913.5445768846344</v>
      </c>
      <c r="CB30" s="35">
        <f t="shared" si="24"/>
        <v>39.742588210145151</v>
      </c>
      <c r="CC30" s="34">
        <f t="shared" si="25"/>
        <v>1514.1251035758714</v>
      </c>
      <c r="CD30" s="34">
        <f t="shared" si="26"/>
        <v>1184.6952841331865</v>
      </c>
      <c r="CE30" s="34">
        <f t="shared" si="27"/>
        <v>10493.005724283259</v>
      </c>
      <c r="CG30" s="34">
        <f t="shared" si="28"/>
        <v>9265.4095755443268</v>
      </c>
      <c r="CH30" s="34">
        <f t="shared" si="28"/>
        <v>1263.2277847708995</v>
      </c>
      <c r="CI30" s="34">
        <f t="shared" si="28"/>
        <v>2355.8379743774231</v>
      </c>
      <c r="CJ30" s="34">
        <f t="shared" si="29"/>
        <v>1184.6952841331865</v>
      </c>
      <c r="CK30" s="34">
        <f t="shared" si="30"/>
        <v>11677.701008416445</v>
      </c>
      <c r="CL30" s="34">
        <f t="shared" si="31"/>
        <v>12884.475334692648</v>
      </c>
      <c r="CM30" s="34">
        <f t="shared" si="32"/>
        <v>2282.7169845374647</v>
      </c>
      <c r="CO30" s="34">
        <f t="shared" si="33"/>
        <v>4964.8551634952892</v>
      </c>
      <c r="CP30" s="34">
        <f t="shared" si="34"/>
        <v>5525.4038426011448</v>
      </c>
      <c r="CQ30" s="34">
        <f t="shared" si="35"/>
        <v>560.54867910585631</v>
      </c>
      <c r="CR30" s="34">
        <f t="shared" si="36"/>
        <v>1080.0870127470907</v>
      </c>
      <c r="CS30" s="34">
        <f t="shared" si="37"/>
        <v>5016.3123960835028</v>
      </c>
    </row>
    <row r="31" spans="1:97" x14ac:dyDescent="0.25">
      <c r="A31" s="14" t="s">
        <v>121</v>
      </c>
      <c r="B31" t="s">
        <v>120</v>
      </c>
      <c r="C31" s="15">
        <v>535000</v>
      </c>
      <c r="D31" s="36">
        <v>108.6</v>
      </c>
      <c r="E31" s="17">
        <f t="shared" si="56"/>
        <v>3.696857670979492E-3</v>
      </c>
      <c r="F31" s="37">
        <f t="shared" si="53"/>
        <v>2.1056721915285452</v>
      </c>
      <c r="G31" s="18">
        <v>15.81</v>
      </c>
      <c r="H31" s="19">
        <v>96.2</v>
      </c>
      <c r="I31" s="19">
        <v>158</v>
      </c>
      <c r="J31" s="20">
        <v>818.7</v>
      </c>
      <c r="K31" s="19"/>
      <c r="L31" s="19"/>
      <c r="M31" s="19">
        <v>701.5</v>
      </c>
      <c r="N31" s="19">
        <v>11.3</v>
      </c>
      <c r="O31" s="19">
        <v>163.9</v>
      </c>
      <c r="P31" s="21">
        <f t="shared" si="0"/>
        <v>1949.6000000000001</v>
      </c>
      <c r="Q31" s="20">
        <f t="shared" si="54"/>
        <v>27388.2</v>
      </c>
      <c r="R31" s="20">
        <v>356.2</v>
      </c>
      <c r="S31" s="20"/>
      <c r="T31" s="22">
        <f t="shared" si="38"/>
        <v>2305.8000000000002</v>
      </c>
      <c r="U31" s="23">
        <f t="shared" si="1"/>
        <v>0.84551999306097669</v>
      </c>
      <c r="V31" s="24"/>
      <c r="W31" s="20">
        <v>390.983</v>
      </c>
      <c r="X31" s="24"/>
      <c r="Z31" s="26">
        <v>1772.9774</v>
      </c>
      <c r="AA31" s="29">
        <v>278.05029999999999</v>
      </c>
      <c r="AB31" s="28">
        <f t="shared" si="39"/>
        <v>2051.0277000000001</v>
      </c>
      <c r="AC31" s="29">
        <v>88.500799999999998</v>
      </c>
      <c r="AD31" s="39">
        <v>390.983</v>
      </c>
      <c r="AE31" s="28">
        <f t="shared" si="2"/>
        <v>2139.5284999999999</v>
      </c>
      <c r="AF31" s="30"/>
      <c r="AG31" s="40">
        <v>-18.294</v>
      </c>
      <c r="AH31" s="31">
        <f t="shared" si="40"/>
        <v>184.5655000000003</v>
      </c>
      <c r="AI31" s="28">
        <f t="shared" si="41"/>
        <v>166.27150000000029</v>
      </c>
      <c r="AK31" s="32">
        <f t="shared" si="3"/>
        <v>3733.3092073885823</v>
      </c>
      <c r="AL31" s="32">
        <f t="shared" si="4"/>
        <v>585.48278455616946</v>
      </c>
      <c r="AM31" s="32">
        <f t="shared" si="5"/>
        <v>186.35367348802947</v>
      </c>
      <c r="AN31" s="32">
        <f t="shared" si="42"/>
        <v>823.28203046040517</v>
      </c>
      <c r="AO31" s="32">
        <f t="shared" si="6"/>
        <v>4855.2589392265199</v>
      </c>
      <c r="AP31" s="33">
        <f t="shared" si="7"/>
        <v>0</v>
      </c>
      <c r="AQ31" s="33">
        <f t="shared" si="43"/>
        <v>823.28203046040517</v>
      </c>
      <c r="AS31" s="33">
        <f t="shared" si="8"/>
        <v>3313.9764485981304</v>
      </c>
      <c r="AT31" s="33">
        <f t="shared" si="9"/>
        <v>519.72018691588778</v>
      </c>
      <c r="AU31" s="33">
        <f t="shared" si="10"/>
        <v>165.42205607476635</v>
      </c>
      <c r="AV31" s="33">
        <f t="shared" si="44"/>
        <v>730.80934579439247</v>
      </c>
      <c r="AW31" s="33">
        <f t="shared" si="11"/>
        <v>3999.1186915887847</v>
      </c>
      <c r="AX31" s="33">
        <f t="shared" si="12"/>
        <v>4309.9065420560746</v>
      </c>
      <c r="AY31" s="33">
        <f t="shared" si="45"/>
        <v>0</v>
      </c>
      <c r="AZ31" s="33">
        <f t="shared" si="46"/>
        <v>730.80934579439247</v>
      </c>
      <c r="BA31" s="38"/>
      <c r="BB31" s="32">
        <f t="shared" si="13"/>
        <v>6978.1480511936115</v>
      </c>
      <c r="BC31" s="32">
        <f t="shared" si="14"/>
        <v>1094.3603449648026</v>
      </c>
      <c r="BD31" s="32">
        <f t="shared" si="15"/>
        <v>348.32462334211112</v>
      </c>
      <c r="BE31" s="32">
        <f t="shared" si="16"/>
        <v>9075.2503536944296</v>
      </c>
      <c r="BF31" s="32">
        <f t="shared" si="47"/>
        <v>1538.8449167484207</v>
      </c>
      <c r="BG31" s="32">
        <f t="shared" si="48"/>
        <v>9959.6779362489469</v>
      </c>
      <c r="BH31" s="32">
        <f t="shared" si="17"/>
        <v>0</v>
      </c>
      <c r="BI31" s="32">
        <f t="shared" si="49"/>
        <v>1538.8449167484207</v>
      </c>
      <c r="BJ31" s="32">
        <f t="shared" si="55"/>
        <v>654.41733419390334</v>
      </c>
      <c r="BK31" s="32"/>
      <c r="BM31" s="32">
        <v>551.94200000000001</v>
      </c>
      <c r="BN31" s="32">
        <v>12.793900000000001</v>
      </c>
      <c r="BO31" s="32">
        <v>251.62430000000001</v>
      </c>
      <c r="BP31" s="34">
        <f t="shared" si="18"/>
        <v>3122.1602000000003</v>
      </c>
      <c r="BQ31" s="34">
        <f t="shared" si="51"/>
        <v>2324.9193999999998</v>
      </c>
      <c r="BR31" s="34">
        <f t="shared" si="51"/>
        <v>290.8442</v>
      </c>
      <c r="BS31" s="34">
        <f t="shared" si="52"/>
        <v>340.12509999999997</v>
      </c>
      <c r="BU31" s="34">
        <f t="shared" si="19"/>
        <v>1162.2089207366482</v>
      </c>
      <c r="BV31" s="34">
        <f t="shared" si="20"/>
        <v>26.939759451197055</v>
      </c>
      <c r="BW31" s="35">
        <f t="shared" si="21"/>
        <v>529.83829122283612</v>
      </c>
      <c r="BX31" s="34">
        <f t="shared" si="50"/>
        <v>823.28203046040517</v>
      </c>
      <c r="BY31" s="34">
        <f t="shared" si="22"/>
        <v>6574.2459106372016</v>
      </c>
      <c r="CA31" s="34">
        <f t="shared" si="23"/>
        <v>2172.3531228722395</v>
      </c>
      <c r="CB31" s="35">
        <f t="shared" si="24"/>
        <v>50.354690562985148</v>
      </c>
      <c r="CC31" s="34">
        <f t="shared" si="25"/>
        <v>990.35194621090852</v>
      </c>
      <c r="CD31" s="34">
        <f t="shared" si="26"/>
        <v>1538.8449167484207</v>
      </c>
      <c r="CE31" s="34">
        <f t="shared" si="27"/>
        <v>12288.310113340563</v>
      </c>
      <c r="CG31" s="34">
        <f t="shared" si="28"/>
        <v>9150.501174065852</v>
      </c>
      <c r="CH31" s="34">
        <f t="shared" si="28"/>
        <v>1144.7150355277877</v>
      </c>
      <c r="CI31" s="34">
        <f t="shared" si="28"/>
        <v>1338.6765695530196</v>
      </c>
      <c r="CJ31" s="34">
        <f t="shared" si="29"/>
        <v>1538.8449167484207</v>
      </c>
      <c r="CK31" s="34">
        <f t="shared" si="30"/>
        <v>13827.155030088985</v>
      </c>
      <c r="CL31" s="34">
        <f t="shared" si="31"/>
        <v>11633.892779146659</v>
      </c>
      <c r="CM31" s="34">
        <f t="shared" si="32"/>
        <v>1674.2148428977125</v>
      </c>
      <c r="CO31" s="34">
        <f t="shared" si="33"/>
        <v>5835.8134579439256</v>
      </c>
      <c r="CP31" s="34">
        <f t="shared" si="34"/>
        <v>6566.622803738318</v>
      </c>
      <c r="CQ31" s="34">
        <f t="shared" si="35"/>
        <v>730.80934579439247</v>
      </c>
      <c r="CR31" s="34">
        <f t="shared" si="36"/>
        <v>795.09757009345788</v>
      </c>
      <c r="CS31" s="34">
        <f t="shared" si="37"/>
        <v>4729.928037383178</v>
      </c>
    </row>
    <row r="32" spans="1:97" x14ac:dyDescent="0.25">
      <c r="A32" s="14" t="s">
        <v>122</v>
      </c>
      <c r="B32" t="s">
        <v>120</v>
      </c>
      <c r="C32" s="15">
        <v>538900</v>
      </c>
      <c r="D32" s="36">
        <v>111.7</v>
      </c>
      <c r="E32" s="17">
        <f t="shared" si="56"/>
        <v>2.8545119705340793E-2</v>
      </c>
      <c r="F32" s="37">
        <f t="shared" si="53"/>
        <v>2.047233661593554</v>
      </c>
      <c r="G32" s="18">
        <v>14.85</v>
      </c>
      <c r="H32" s="19">
        <v>89.7</v>
      </c>
      <c r="I32" s="19">
        <v>166</v>
      </c>
      <c r="J32" s="20">
        <v>698.8</v>
      </c>
      <c r="K32" s="19"/>
      <c r="L32" s="19"/>
      <c r="M32" s="19">
        <v>611.5</v>
      </c>
      <c r="N32" s="19">
        <v>16.7</v>
      </c>
      <c r="O32" s="19">
        <v>257.7</v>
      </c>
      <c r="P32" s="21">
        <f t="shared" si="0"/>
        <v>1840.4</v>
      </c>
      <c r="Q32" s="20">
        <f t="shared" si="54"/>
        <v>29228.600000000002</v>
      </c>
      <c r="R32" s="20">
        <v>345.8</v>
      </c>
      <c r="S32" s="20"/>
      <c r="T32" s="22">
        <f t="shared" si="38"/>
        <v>2186.2000000000003</v>
      </c>
      <c r="U32" s="23">
        <f t="shared" si="1"/>
        <v>0.84182599945110226</v>
      </c>
      <c r="V32" s="24"/>
      <c r="W32" s="20">
        <v>424.37599999999998</v>
      </c>
      <c r="X32" s="24"/>
      <c r="Z32" s="26">
        <v>1838.7221</v>
      </c>
      <c r="AA32" s="29">
        <v>282.0059</v>
      </c>
      <c r="AB32" s="28">
        <f t="shared" si="39"/>
        <v>2120.7280000000001</v>
      </c>
      <c r="AC32" s="29">
        <v>176.67099999999999</v>
      </c>
      <c r="AD32" s="39">
        <v>424.37599999999998</v>
      </c>
      <c r="AE32" s="28">
        <f t="shared" si="2"/>
        <v>2297.3989999999999</v>
      </c>
      <c r="AF32" s="30"/>
      <c r="AG32" s="40">
        <v>-8.6547000000000001</v>
      </c>
      <c r="AH32" s="31">
        <f t="shared" si="40"/>
        <v>-102.54429999999961</v>
      </c>
      <c r="AI32" s="28">
        <f t="shared" si="41"/>
        <v>-111.19899999999961</v>
      </c>
      <c r="AK32" s="32">
        <f t="shared" si="3"/>
        <v>3764.2937774359889</v>
      </c>
      <c r="AL32" s="32">
        <f t="shared" si="4"/>
        <v>577.33197124798562</v>
      </c>
      <c r="AM32" s="32">
        <f t="shared" si="5"/>
        <v>361.68681822739478</v>
      </c>
      <c r="AN32" s="32">
        <f t="shared" si="42"/>
        <v>868.79683237242602</v>
      </c>
      <c r="AO32" s="32">
        <f t="shared" si="6"/>
        <v>4475.6622309758286</v>
      </c>
      <c r="AP32" s="33">
        <f t="shared" si="7"/>
        <v>0</v>
      </c>
      <c r="AQ32" s="33">
        <f t="shared" si="43"/>
        <v>868.79683237242602</v>
      </c>
      <c r="AS32" s="33">
        <f t="shared" si="8"/>
        <v>3411.9912785303391</v>
      </c>
      <c r="AT32" s="33">
        <f t="shared" si="9"/>
        <v>523.29912785303395</v>
      </c>
      <c r="AU32" s="33">
        <f t="shared" si="10"/>
        <v>327.83633327147891</v>
      </c>
      <c r="AV32" s="33">
        <f t="shared" si="44"/>
        <v>787.48561885321953</v>
      </c>
      <c r="AW32" s="33">
        <f t="shared" si="11"/>
        <v>4263.1267396548519</v>
      </c>
      <c r="AX32" s="33">
        <f t="shared" si="12"/>
        <v>4056.7823343848581</v>
      </c>
      <c r="AY32" s="33">
        <f t="shared" si="45"/>
        <v>0</v>
      </c>
      <c r="AZ32" s="33">
        <f t="shared" si="46"/>
        <v>787.48561885321942</v>
      </c>
      <c r="BA32" s="38"/>
      <c r="BB32" s="32">
        <f t="shared" si="13"/>
        <v>6985.1433984709383</v>
      </c>
      <c r="BC32" s="32">
        <f t="shared" si="14"/>
        <v>1071.3155896232799</v>
      </c>
      <c r="BD32" s="32">
        <f t="shared" si="15"/>
        <v>671.1575769667744</v>
      </c>
      <c r="BE32" s="32">
        <f t="shared" si="16"/>
        <v>8305.1813527107588</v>
      </c>
      <c r="BF32" s="32">
        <f t="shared" si="47"/>
        <v>1612.1670669371422</v>
      </c>
      <c r="BG32" s="32">
        <f t="shared" si="48"/>
        <v>10339.783631998134</v>
      </c>
      <c r="BH32" s="32">
        <f t="shared" si="17"/>
        <v>0</v>
      </c>
      <c r="BI32" s="32">
        <f t="shared" si="49"/>
        <v>1612.1670669371422</v>
      </c>
      <c r="BJ32" s="32">
        <f t="shared" si="55"/>
        <v>-422.43521235023331</v>
      </c>
      <c r="BK32" s="32"/>
      <c r="BM32" s="32">
        <v>628.73410000000001</v>
      </c>
      <c r="BN32" s="32">
        <v>24.1981</v>
      </c>
      <c r="BO32" s="32">
        <v>220.91720000000001</v>
      </c>
      <c r="BP32" s="34">
        <f t="shared" si="18"/>
        <v>3060.0494000000003</v>
      </c>
      <c r="BQ32" s="34">
        <f t="shared" si="51"/>
        <v>2467.4562000000001</v>
      </c>
      <c r="BR32" s="34">
        <f t="shared" si="51"/>
        <v>306.20400000000001</v>
      </c>
      <c r="BS32" s="34">
        <f t="shared" si="52"/>
        <v>397.58820000000003</v>
      </c>
      <c r="BU32" s="34">
        <f t="shared" si="19"/>
        <v>1287.1656137117277</v>
      </c>
      <c r="BV32" s="34">
        <f t="shared" si="20"/>
        <v>49.539164866606981</v>
      </c>
      <c r="BW32" s="35">
        <f t="shared" si="21"/>
        <v>452.26912826499552</v>
      </c>
      <c r="BX32" s="34">
        <f t="shared" si="50"/>
        <v>868.79683237242602</v>
      </c>
      <c r="BY32" s="34">
        <f t="shared" si="22"/>
        <v>6264.6361378191586</v>
      </c>
      <c r="CA32" s="34">
        <f t="shared" si="23"/>
        <v>2388.5054995578539</v>
      </c>
      <c r="CB32" s="35">
        <f t="shared" si="24"/>
        <v>91.926451784388533</v>
      </c>
      <c r="CC32" s="34">
        <f t="shared" si="25"/>
        <v>839.24499585265448</v>
      </c>
      <c r="CD32" s="34">
        <f t="shared" si="26"/>
        <v>1612.1670669371422</v>
      </c>
      <c r="CE32" s="34">
        <f t="shared" si="27"/>
        <v>11624.858299905656</v>
      </c>
      <c r="CG32" s="34">
        <f t="shared" si="28"/>
        <v>9373.6488980287922</v>
      </c>
      <c r="CH32" s="34">
        <f t="shared" si="28"/>
        <v>1163.2420414076685</v>
      </c>
      <c r="CI32" s="34">
        <f t="shared" si="28"/>
        <v>1510.4025728194288</v>
      </c>
      <c r="CJ32" s="34">
        <f t="shared" si="29"/>
        <v>1612.1670669371422</v>
      </c>
      <c r="CK32" s="34">
        <f t="shared" si="30"/>
        <v>13237.025366842798</v>
      </c>
      <c r="CL32" s="34">
        <f t="shared" si="31"/>
        <v>12047.293512255888</v>
      </c>
      <c r="CM32" s="34">
        <f t="shared" si="32"/>
        <v>1707.509880257754</v>
      </c>
      <c r="CO32" s="34">
        <f t="shared" si="33"/>
        <v>5678.3251066988314</v>
      </c>
      <c r="CP32" s="34">
        <f t="shared" si="34"/>
        <v>6465.8107255520499</v>
      </c>
      <c r="CQ32" s="34">
        <f t="shared" si="35"/>
        <v>787.48561885321942</v>
      </c>
      <c r="CR32" s="34">
        <f t="shared" si="36"/>
        <v>834.05715346075294</v>
      </c>
      <c r="CS32" s="34">
        <f t="shared" si="37"/>
        <v>5050.6123585080713</v>
      </c>
    </row>
    <row r="33" spans="1:97" x14ac:dyDescent="0.25">
      <c r="A33" s="14" t="s">
        <v>123</v>
      </c>
      <c r="B33" t="s">
        <v>120</v>
      </c>
      <c r="C33" s="15">
        <v>553171</v>
      </c>
      <c r="D33" s="36">
        <v>118.6</v>
      </c>
      <c r="E33" s="17">
        <f t="shared" si="56"/>
        <v>6.1772605192479846E-2</v>
      </c>
      <c r="F33" s="37">
        <f t="shared" si="53"/>
        <v>1.9281281618887014</v>
      </c>
      <c r="G33" s="18">
        <v>16.91</v>
      </c>
      <c r="H33" s="19">
        <v>89.8</v>
      </c>
      <c r="I33" s="19">
        <v>117.2</v>
      </c>
      <c r="J33" s="20">
        <v>1001.6</v>
      </c>
      <c r="K33" s="19"/>
      <c r="L33" s="19"/>
      <c r="M33" s="19">
        <v>753.7</v>
      </c>
      <c r="N33" s="19">
        <v>4.2</v>
      </c>
      <c r="O33" s="19">
        <v>154.80000000000001</v>
      </c>
      <c r="P33" s="21">
        <f t="shared" si="0"/>
        <v>2121.3000000000002</v>
      </c>
      <c r="Q33" s="20">
        <f t="shared" si="54"/>
        <v>31349.9</v>
      </c>
      <c r="R33" s="20">
        <v>385.9</v>
      </c>
      <c r="S33" s="20"/>
      <c r="T33" s="22">
        <f t="shared" si="38"/>
        <v>2507.2000000000003</v>
      </c>
      <c r="U33" s="23">
        <f t="shared" si="1"/>
        <v>0.84608328015315892</v>
      </c>
      <c r="V33" s="24"/>
      <c r="W33" s="20">
        <v>459.97500000000002</v>
      </c>
      <c r="X33" s="24"/>
      <c r="Z33" s="26">
        <v>1906.4887000000001</v>
      </c>
      <c r="AA33" s="29">
        <v>281.28930000000003</v>
      </c>
      <c r="AB33" s="28">
        <f t="shared" si="39"/>
        <v>2187.7780000000002</v>
      </c>
      <c r="AC33" s="29">
        <v>130.87090000000001</v>
      </c>
      <c r="AD33" s="39">
        <v>459.97500000000002</v>
      </c>
      <c r="AE33" s="28">
        <f t="shared" si="2"/>
        <v>2318.6489000000001</v>
      </c>
      <c r="AF33" s="30"/>
      <c r="AG33" s="40">
        <v>31.419699999999999</v>
      </c>
      <c r="AH33" s="31">
        <f t="shared" si="40"/>
        <v>157.13140000000013</v>
      </c>
      <c r="AI33" s="28">
        <f t="shared" si="41"/>
        <v>188.55110000000013</v>
      </c>
      <c r="AK33" s="32">
        <f t="shared" si="3"/>
        <v>3675.9545527925802</v>
      </c>
      <c r="AL33" s="32">
        <f t="shared" si="4"/>
        <v>542.36182096795949</v>
      </c>
      <c r="AM33" s="32">
        <f t="shared" si="5"/>
        <v>252.33586786172006</v>
      </c>
      <c r="AN33" s="32">
        <f t="shared" si="42"/>
        <v>886.89075126475552</v>
      </c>
      <c r="AO33" s="32">
        <f t="shared" si="6"/>
        <v>4834.202927487353</v>
      </c>
      <c r="AP33" s="33">
        <f t="shared" si="7"/>
        <v>0</v>
      </c>
      <c r="AQ33" s="33">
        <f t="shared" si="43"/>
        <v>886.89075126475552</v>
      </c>
      <c r="AS33" s="33">
        <f t="shared" si="8"/>
        <v>3446.4726097355069</v>
      </c>
      <c r="AT33" s="33">
        <f t="shared" si="9"/>
        <v>508.50333802748162</v>
      </c>
      <c r="AU33" s="33">
        <f t="shared" si="10"/>
        <v>236.58308190414903</v>
      </c>
      <c r="AV33" s="33">
        <f t="shared" si="44"/>
        <v>831.52406760296549</v>
      </c>
      <c r="AW33" s="33">
        <f t="shared" si="11"/>
        <v>4191.559029667138</v>
      </c>
      <c r="AX33" s="33">
        <f t="shared" si="12"/>
        <v>4532.4140274887877</v>
      </c>
      <c r="AY33" s="33">
        <f t="shared" si="45"/>
        <v>0</v>
      </c>
      <c r="AZ33" s="33">
        <f t="shared" si="46"/>
        <v>831.52406760296549</v>
      </c>
      <c r="BA33" s="38"/>
      <c r="BB33" s="32">
        <f t="shared" si="13"/>
        <v>6645.2408980090795</v>
      </c>
      <c r="BC33" s="32">
        <f t="shared" si="14"/>
        <v>980.459606465197</v>
      </c>
      <c r="BD33" s="32">
        <f t="shared" si="15"/>
        <v>456.16250284581093</v>
      </c>
      <c r="BE33" s="32">
        <f t="shared" si="16"/>
        <v>8739.0751277405234</v>
      </c>
      <c r="BF33" s="32">
        <f t="shared" si="47"/>
        <v>1603.2849720335223</v>
      </c>
      <c r="BG33" s="32">
        <f t="shared" si="48"/>
        <v>9685.1479793536091</v>
      </c>
      <c r="BH33" s="32">
        <f t="shared" si="17"/>
        <v>0</v>
      </c>
      <c r="BI33" s="32">
        <f t="shared" si="49"/>
        <v>1603.2849720335223</v>
      </c>
      <c r="BJ33" s="32">
        <f t="shared" si="55"/>
        <v>657.21212042043658</v>
      </c>
      <c r="BK33" s="32"/>
      <c r="BM33" s="32">
        <v>719.68619999999999</v>
      </c>
      <c r="BN33" s="32">
        <v>8.7376000000000005</v>
      </c>
      <c r="BO33" s="32">
        <v>202.28739999999999</v>
      </c>
      <c r="BP33" s="34">
        <f t="shared" si="18"/>
        <v>3437.9112000000005</v>
      </c>
      <c r="BQ33" s="34">
        <f t="shared" si="51"/>
        <v>2626.1749</v>
      </c>
      <c r="BR33" s="34">
        <f t="shared" si="51"/>
        <v>290.02690000000001</v>
      </c>
      <c r="BS33" s="34">
        <f t="shared" si="52"/>
        <v>333.1583</v>
      </c>
      <c r="BU33" s="34">
        <f t="shared" si="19"/>
        <v>1387.6472299426644</v>
      </c>
      <c r="BV33" s="34">
        <f t="shared" si="20"/>
        <v>16.847212627318719</v>
      </c>
      <c r="BW33" s="35">
        <f t="shared" si="21"/>
        <v>390.03603273524448</v>
      </c>
      <c r="BX33" s="34">
        <f t="shared" si="50"/>
        <v>886.89075126475552</v>
      </c>
      <c r="BY33" s="34">
        <f t="shared" si="22"/>
        <v>6628.7334027925808</v>
      </c>
      <c r="CA33" s="34">
        <f t="shared" si="23"/>
        <v>2508.5321355289134</v>
      </c>
      <c r="CB33" s="35">
        <f t="shared" si="24"/>
        <v>30.455704704908101</v>
      </c>
      <c r="CC33" s="34">
        <f t="shared" si="25"/>
        <v>705.09125159352982</v>
      </c>
      <c r="CD33" s="34">
        <f t="shared" si="26"/>
        <v>1603.2849720335223</v>
      </c>
      <c r="CE33" s="34">
        <f t="shared" si="27"/>
        <v>11983.154219567876</v>
      </c>
      <c r="CG33" s="34">
        <f t="shared" si="28"/>
        <v>9153.7730335379929</v>
      </c>
      <c r="CH33" s="34">
        <f t="shared" si="28"/>
        <v>1010.915311170105</v>
      </c>
      <c r="CI33" s="34">
        <f t="shared" si="28"/>
        <v>1161.2537544393408</v>
      </c>
      <c r="CJ33" s="34">
        <f t="shared" si="29"/>
        <v>1603.2849720335223</v>
      </c>
      <c r="CK33" s="34">
        <f t="shared" si="30"/>
        <v>13586.439191601397</v>
      </c>
      <c r="CL33" s="34">
        <f t="shared" si="31"/>
        <v>11325.94209914744</v>
      </c>
      <c r="CM33" s="34">
        <f t="shared" si="32"/>
        <v>1640.7941197938308</v>
      </c>
      <c r="CO33" s="34">
        <f t="shared" si="33"/>
        <v>6214.9158216898586</v>
      </c>
      <c r="CP33" s="34">
        <f t="shared" si="34"/>
        <v>7046.4398892928239</v>
      </c>
      <c r="CQ33" s="34">
        <f t="shared" si="35"/>
        <v>831.52406760296549</v>
      </c>
      <c r="CR33" s="34">
        <f t="shared" si="36"/>
        <v>850.97772659810539</v>
      </c>
      <c r="CS33" s="34">
        <f t="shared" si="37"/>
        <v>5023.0830972701033</v>
      </c>
    </row>
    <row r="34" spans="1:97" x14ac:dyDescent="0.25">
      <c r="A34" s="14" t="s">
        <v>124</v>
      </c>
      <c r="B34" t="s">
        <v>97</v>
      </c>
      <c r="C34" s="15">
        <v>569054</v>
      </c>
      <c r="D34" s="36">
        <v>124</v>
      </c>
      <c r="E34" s="17">
        <f t="shared" si="56"/>
        <v>4.5531197301855064E-2</v>
      </c>
      <c r="F34" s="37">
        <f t="shared" si="53"/>
        <v>1.8441612903225806</v>
      </c>
      <c r="G34" s="18">
        <v>21.83</v>
      </c>
      <c r="H34" s="19">
        <v>85</v>
      </c>
      <c r="I34" s="19">
        <v>185.1</v>
      </c>
      <c r="J34" s="20">
        <v>1284.8</v>
      </c>
      <c r="K34" s="19"/>
      <c r="L34" s="19"/>
      <c r="M34" s="19">
        <v>958.7</v>
      </c>
      <c r="N34" s="19">
        <v>24.7</v>
      </c>
      <c r="O34" s="19">
        <v>33.5</v>
      </c>
      <c r="P34" s="21">
        <f t="shared" si="0"/>
        <v>2571.8000000000002</v>
      </c>
      <c r="Q34" s="20">
        <f t="shared" si="54"/>
        <v>33921.700000000004</v>
      </c>
      <c r="R34" s="20">
        <v>414.8</v>
      </c>
      <c r="S34" s="20"/>
      <c r="T34" s="22">
        <f t="shared" si="38"/>
        <v>2986.6000000000004</v>
      </c>
      <c r="U34" s="23">
        <f t="shared" si="1"/>
        <v>0.86111297127168007</v>
      </c>
      <c r="V34" s="24"/>
      <c r="W34" s="20">
        <v>487.48399999999998</v>
      </c>
      <c r="X34" s="24"/>
      <c r="Z34" s="26">
        <v>2012.979</v>
      </c>
      <c r="AA34" s="29">
        <v>271.73500000000001</v>
      </c>
      <c r="AB34" s="28">
        <f t="shared" si="39"/>
        <v>2284.7139999999999</v>
      </c>
      <c r="AC34" s="29">
        <v>271.53160000000003</v>
      </c>
      <c r="AD34" s="39">
        <v>487.48399999999998</v>
      </c>
      <c r="AE34" s="28">
        <f t="shared" si="2"/>
        <v>2556.2456000000002</v>
      </c>
      <c r="AF34" s="30"/>
      <c r="AG34" s="40">
        <v>45.487000000000002</v>
      </c>
      <c r="AH34" s="31">
        <f t="shared" si="40"/>
        <v>384.86740000000015</v>
      </c>
      <c r="AI34" s="28">
        <f t="shared" si="41"/>
        <v>430.35440000000017</v>
      </c>
      <c r="AK34" s="32">
        <f t="shared" si="3"/>
        <v>3712.2579500322581</v>
      </c>
      <c r="AL34" s="32">
        <f t="shared" si="4"/>
        <v>501.12316822580647</v>
      </c>
      <c r="AM34" s="32">
        <f t="shared" si="5"/>
        <v>500.74806581935485</v>
      </c>
      <c r="AN34" s="32">
        <f t="shared" si="42"/>
        <v>898.99912245161283</v>
      </c>
      <c r="AO34" s="32">
        <f t="shared" si="6"/>
        <v>5507.7721096774194</v>
      </c>
      <c r="AP34" s="33">
        <f t="shared" si="7"/>
        <v>0</v>
      </c>
      <c r="AQ34" s="33">
        <f t="shared" si="43"/>
        <v>898.99912245161283</v>
      </c>
      <c r="AS34" s="33">
        <f t="shared" si="8"/>
        <v>3537.4129695951528</v>
      </c>
      <c r="AT34" s="33">
        <f t="shared" si="9"/>
        <v>477.520586798441</v>
      </c>
      <c r="AU34" s="33">
        <f t="shared" si="10"/>
        <v>477.16315147595844</v>
      </c>
      <c r="AV34" s="33">
        <f t="shared" si="44"/>
        <v>856.65683748818208</v>
      </c>
      <c r="AW34" s="33">
        <f t="shared" si="11"/>
        <v>4492.0967078695521</v>
      </c>
      <c r="AX34" s="33">
        <f t="shared" si="12"/>
        <v>5248.3595581438676</v>
      </c>
      <c r="AY34" s="33">
        <f t="shared" si="45"/>
        <v>0</v>
      </c>
      <c r="AZ34" s="33">
        <f t="shared" si="46"/>
        <v>856.65683748818219</v>
      </c>
      <c r="BA34" s="38"/>
      <c r="BB34" s="32">
        <f t="shared" si="13"/>
        <v>6523.5600664124295</v>
      </c>
      <c r="BC34" s="32">
        <f t="shared" si="14"/>
        <v>880.62498150580882</v>
      </c>
      <c r="BD34" s="32">
        <f t="shared" si="15"/>
        <v>879.96581312029241</v>
      </c>
      <c r="BE34" s="32">
        <f t="shared" si="16"/>
        <v>9678.8215348234444</v>
      </c>
      <c r="BF34" s="32">
        <f t="shared" si="47"/>
        <v>1579.8133787858674</v>
      </c>
      <c r="BG34" s="32">
        <f t="shared" si="48"/>
        <v>9863.9642398243996</v>
      </c>
      <c r="BH34" s="32">
        <f t="shared" si="17"/>
        <v>0</v>
      </c>
      <c r="BI34" s="32">
        <f t="shared" si="49"/>
        <v>1579.8133787858674</v>
      </c>
      <c r="BJ34" s="32">
        <f t="shared" si="55"/>
        <v>1394.6706737849122</v>
      </c>
      <c r="BK34" s="32"/>
      <c r="BM34" s="32">
        <v>873.68299999999999</v>
      </c>
      <c r="BN34" s="32">
        <v>22.652899999999999</v>
      </c>
      <c r="BO34" s="32">
        <v>330.77420000000001</v>
      </c>
      <c r="BP34" s="34">
        <f t="shared" si="18"/>
        <v>4213.7101000000002</v>
      </c>
      <c r="BQ34" s="34">
        <f t="shared" si="51"/>
        <v>2886.6620000000003</v>
      </c>
      <c r="BR34" s="34">
        <f t="shared" si="51"/>
        <v>294.3879</v>
      </c>
      <c r="BS34" s="34">
        <f t="shared" si="52"/>
        <v>602.30580000000009</v>
      </c>
      <c r="BU34" s="34">
        <f t="shared" si="19"/>
        <v>1611.2123686129032</v>
      </c>
      <c r="BV34" s="34">
        <f t="shared" si="20"/>
        <v>41.775601293548384</v>
      </c>
      <c r="BW34" s="35">
        <f t="shared" si="21"/>
        <v>610.00097547741939</v>
      </c>
      <c r="BX34" s="34">
        <f t="shared" si="50"/>
        <v>898.99912245161283</v>
      </c>
      <c r="BY34" s="34">
        <f t="shared" si="22"/>
        <v>7770.7610550612908</v>
      </c>
      <c r="CA34" s="34">
        <f t="shared" si="23"/>
        <v>2831.3874757279686</v>
      </c>
      <c r="CB34" s="35">
        <f t="shared" si="24"/>
        <v>73.412367356258613</v>
      </c>
      <c r="CC34" s="34">
        <f t="shared" si="25"/>
        <v>1071.9562211625248</v>
      </c>
      <c r="CD34" s="34">
        <f t="shared" si="26"/>
        <v>1579.8133787858674</v>
      </c>
      <c r="CE34" s="34">
        <f t="shared" si="27"/>
        <v>13655.577599070197</v>
      </c>
      <c r="CG34" s="34">
        <f t="shared" ref="CG34:CI64" si="57">+CA34+BB34</f>
        <v>9354.9475421403986</v>
      </c>
      <c r="CH34" s="34">
        <f t="shared" si="57"/>
        <v>954.03734886206746</v>
      </c>
      <c r="CI34" s="34">
        <f t="shared" si="57"/>
        <v>1951.9220342828171</v>
      </c>
      <c r="CJ34" s="34">
        <f t="shared" si="29"/>
        <v>1579.8133787858674</v>
      </c>
      <c r="CK34" s="34">
        <f t="shared" si="30"/>
        <v>15235.390977856065</v>
      </c>
      <c r="CL34" s="34">
        <f t="shared" si="31"/>
        <v>12260.906925285284</v>
      </c>
      <c r="CM34" s="34">
        <f t="shared" si="32"/>
        <v>2396.9426854608846</v>
      </c>
      <c r="CO34" s="34">
        <f t="shared" si="33"/>
        <v>7404.763168346064</v>
      </c>
      <c r="CP34" s="34">
        <f t="shared" si="34"/>
        <v>8261.4200058342467</v>
      </c>
      <c r="CQ34" s="34">
        <f t="shared" si="35"/>
        <v>856.65683748818219</v>
      </c>
      <c r="CR34" s="34">
        <f t="shared" si="36"/>
        <v>1299.7467727140133</v>
      </c>
      <c r="CS34" s="34">
        <f t="shared" si="37"/>
        <v>5348.7535453577357</v>
      </c>
    </row>
    <row r="35" spans="1:97" x14ac:dyDescent="0.25">
      <c r="A35" s="14" t="s">
        <v>125</v>
      </c>
      <c r="B35" t="s">
        <v>97</v>
      </c>
      <c r="C35" s="15">
        <v>586722</v>
      </c>
      <c r="D35" s="36">
        <v>128.19999999999999</v>
      </c>
      <c r="E35" s="17">
        <f t="shared" si="56"/>
        <v>3.3870967741935321E-2</v>
      </c>
      <c r="F35" s="37">
        <f t="shared" si="53"/>
        <v>1.7837441497659907</v>
      </c>
      <c r="G35" s="18">
        <v>16.96</v>
      </c>
      <c r="H35" s="19">
        <v>69</v>
      </c>
      <c r="I35" s="19">
        <v>165.5</v>
      </c>
      <c r="J35" s="20">
        <v>1053.2</v>
      </c>
      <c r="K35" s="19"/>
      <c r="L35" s="19"/>
      <c r="M35" s="19">
        <v>708.2</v>
      </c>
      <c r="N35" s="19">
        <v>6.8</v>
      </c>
      <c r="O35" s="19">
        <v>4.7</v>
      </c>
      <c r="P35" s="21">
        <f t="shared" si="0"/>
        <v>2007.4</v>
      </c>
      <c r="Q35" s="20">
        <f t="shared" si="54"/>
        <v>35929.100000000006</v>
      </c>
      <c r="R35" s="20">
        <v>455.2</v>
      </c>
      <c r="S35" s="20"/>
      <c r="T35" s="22">
        <f t="shared" si="38"/>
        <v>2462.6</v>
      </c>
      <c r="U35" s="23">
        <f t="shared" si="1"/>
        <v>0.81515471452935928</v>
      </c>
      <c r="V35" s="24"/>
      <c r="W35" s="20">
        <v>489.49</v>
      </c>
      <c r="X35" s="24"/>
      <c r="Z35" s="26">
        <v>1968.7046</v>
      </c>
      <c r="AA35" s="29">
        <v>112.40940000000001</v>
      </c>
      <c r="AB35" s="28">
        <f>+Z35+AA35</f>
        <v>2081.114</v>
      </c>
      <c r="AC35" s="29">
        <v>341.97699999999998</v>
      </c>
      <c r="AD35" s="39">
        <v>489.49</v>
      </c>
      <c r="AE35" s="28">
        <f t="shared" si="2"/>
        <v>2423.0909999999999</v>
      </c>
      <c r="AF35" s="30"/>
      <c r="AG35" s="40">
        <v>66.221800000000002</v>
      </c>
      <c r="AH35" s="31">
        <f t="shared" si="40"/>
        <v>-26.712799999999987</v>
      </c>
      <c r="AI35" s="28">
        <f t="shared" si="41"/>
        <v>39.509000000000015</v>
      </c>
      <c r="AK35" s="32">
        <f t="shared" si="3"/>
        <v>3511.6653128673947</v>
      </c>
      <c r="AL35" s="32">
        <f t="shared" si="4"/>
        <v>200.50960962870516</v>
      </c>
      <c r="AM35" s="32">
        <f t="shared" si="5"/>
        <v>609.99947310452421</v>
      </c>
      <c r="AN35" s="32">
        <f t="shared" si="42"/>
        <v>873.12492386895485</v>
      </c>
      <c r="AO35" s="32">
        <f t="shared" si="6"/>
        <v>4392.6483432137284</v>
      </c>
      <c r="AP35" s="33">
        <f t="shared" si="7"/>
        <v>0</v>
      </c>
      <c r="AQ35" s="33">
        <f t="shared" si="43"/>
        <v>873.12492386895485</v>
      </c>
      <c r="AS35" s="33">
        <f t="shared" si="8"/>
        <v>3355.4299992159831</v>
      </c>
      <c r="AT35" s="33">
        <f t="shared" si="9"/>
        <v>191.58886150510807</v>
      </c>
      <c r="AU35" s="33">
        <f t="shared" si="10"/>
        <v>582.86036657906129</v>
      </c>
      <c r="AV35" s="33">
        <f t="shared" si="44"/>
        <v>834.27926684187742</v>
      </c>
      <c r="AW35" s="33">
        <f t="shared" si="11"/>
        <v>4129.8792273001527</v>
      </c>
      <c r="AX35" s="33">
        <f t="shared" si="12"/>
        <v>4197.2177624155902</v>
      </c>
      <c r="AY35" s="33">
        <f t="shared" si="45"/>
        <v>0</v>
      </c>
      <c r="AZ35" s="33">
        <f t="shared" si="46"/>
        <v>834.27926684187753</v>
      </c>
      <c r="BA35" s="38"/>
      <c r="BB35" s="32">
        <f t="shared" si="13"/>
        <v>5985.2286310508125</v>
      </c>
      <c r="BC35" s="32">
        <f t="shared" si="14"/>
        <v>341.74551087006313</v>
      </c>
      <c r="BD35" s="32">
        <f t="shared" si="15"/>
        <v>1039.6737690158614</v>
      </c>
      <c r="BE35" s="32">
        <f t="shared" si="16"/>
        <v>7486.762629002711</v>
      </c>
      <c r="BF35" s="32">
        <f t="shared" si="47"/>
        <v>1488.1407615002588</v>
      </c>
      <c r="BG35" s="32">
        <f t="shared" si="48"/>
        <v>8854.7886724369964</v>
      </c>
      <c r="BH35" s="32">
        <f t="shared" si="17"/>
        <v>0</v>
      </c>
      <c r="BI35" s="32">
        <f t="shared" si="49"/>
        <v>1488.1407615002588</v>
      </c>
      <c r="BJ35" s="32">
        <f t="shared" si="55"/>
        <v>120.11471806597342</v>
      </c>
      <c r="BK35" s="32"/>
      <c r="BM35" s="32">
        <v>1050.902</v>
      </c>
      <c r="BN35" s="32">
        <v>72.396699999999996</v>
      </c>
      <c r="BO35" s="32">
        <v>332.40570000000002</v>
      </c>
      <c r="BP35" s="34">
        <f t="shared" si="18"/>
        <v>3918.3044</v>
      </c>
      <c r="BQ35" s="34">
        <f t="shared" si="51"/>
        <v>3019.6066000000001</v>
      </c>
      <c r="BR35" s="34">
        <f t="shared" si="51"/>
        <v>184.80610000000001</v>
      </c>
      <c r="BS35" s="34">
        <f t="shared" si="52"/>
        <v>674.3827</v>
      </c>
      <c r="BU35" s="34">
        <f t="shared" si="19"/>
        <v>1874.5402944773793</v>
      </c>
      <c r="BV35" s="34">
        <f t="shared" si="20"/>
        <v>129.13719008736348</v>
      </c>
      <c r="BW35" s="35">
        <f t="shared" si="21"/>
        <v>592.92672272386903</v>
      </c>
      <c r="BX35" s="34">
        <f t="shared" si="50"/>
        <v>873.12492386895485</v>
      </c>
      <c r="BY35" s="34">
        <f t="shared" si="22"/>
        <v>6989.2525505023405</v>
      </c>
      <c r="CA35" s="34">
        <f t="shared" si="23"/>
        <v>3194.9377975896241</v>
      </c>
      <c r="CB35" s="35">
        <f t="shared" si="24"/>
        <v>220.09945099615064</v>
      </c>
      <c r="CC35" s="34">
        <f t="shared" si="25"/>
        <v>1010.5752344787976</v>
      </c>
      <c r="CD35" s="34">
        <f t="shared" si="26"/>
        <v>1488.1407615002588</v>
      </c>
      <c r="CE35" s="34">
        <f t="shared" si="27"/>
        <v>11912.375112067284</v>
      </c>
      <c r="CG35" s="34">
        <f t="shared" si="57"/>
        <v>9180.1664286404375</v>
      </c>
      <c r="CH35" s="34">
        <f t="shared" si="57"/>
        <v>561.84496186621379</v>
      </c>
      <c r="CI35" s="34">
        <f t="shared" si="57"/>
        <v>2050.2490034946591</v>
      </c>
      <c r="CJ35" s="34">
        <f t="shared" si="29"/>
        <v>1488.1407615002588</v>
      </c>
      <c r="CK35" s="34">
        <f t="shared" si="30"/>
        <v>13400.515873567543</v>
      </c>
      <c r="CL35" s="34">
        <f t="shared" si="31"/>
        <v>11792.26039400131</v>
      </c>
      <c r="CM35" s="34">
        <f t="shared" si="32"/>
        <v>2937.4717215643141</v>
      </c>
      <c r="CO35" s="34">
        <f t="shared" si="33"/>
        <v>6678.2980696138893</v>
      </c>
      <c r="CP35" s="34">
        <f t="shared" si="34"/>
        <v>7512.5773364557672</v>
      </c>
      <c r="CQ35" s="34">
        <f t="shared" si="35"/>
        <v>834.27926684187753</v>
      </c>
      <c r="CR35" s="34">
        <f t="shared" si="36"/>
        <v>1646.8010403564215</v>
      </c>
      <c r="CS35" s="34">
        <f t="shared" si="37"/>
        <v>4964.1584941420306</v>
      </c>
    </row>
    <row r="36" spans="1:97" x14ac:dyDescent="0.25">
      <c r="A36" s="14" t="s">
        <v>126</v>
      </c>
      <c r="B36" t="s">
        <v>97</v>
      </c>
      <c r="C36" s="15">
        <v>596906</v>
      </c>
      <c r="D36" s="36">
        <v>132.19999999999999</v>
      </c>
      <c r="E36" s="17">
        <f t="shared" si="56"/>
        <v>3.120124804992197E-2</v>
      </c>
      <c r="F36" s="37">
        <f t="shared" si="53"/>
        <v>1.7297730711043873</v>
      </c>
      <c r="G36" s="18">
        <v>17.48</v>
      </c>
      <c r="H36" s="20">
        <v>66.900000000000006</v>
      </c>
      <c r="I36" s="20">
        <v>117.6</v>
      </c>
      <c r="J36" s="20">
        <v>1017.6</v>
      </c>
      <c r="K36" s="20"/>
      <c r="L36" s="20"/>
      <c r="M36" s="20">
        <v>716.7</v>
      </c>
      <c r="N36" s="19">
        <v>44.3</v>
      </c>
      <c r="O36" s="19">
        <v>4.7</v>
      </c>
      <c r="P36" s="21">
        <f t="shared" si="0"/>
        <v>1967.8</v>
      </c>
      <c r="Q36" s="20">
        <f t="shared" si="54"/>
        <v>37896.900000000009</v>
      </c>
      <c r="R36" s="20">
        <v>384.2</v>
      </c>
      <c r="S36" s="20"/>
      <c r="T36" s="22">
        <f t="shared" si="38"/>
        <v>2352</v>
      </c>
      <c r="U36" s="23">
        <f t="shared" si="1"/>
        <v>0.83664965986394557</v>
      </c>
      <c r="V36" s="24"/>
      <c r="W36" s="20">
        <v>488.24099999999999</v>
      </c>
      <c r="X36" s="24"/>
      <c r="Z36" s="26">
        <v>1963.8309999999999</v>
      </c>
      <c r="AA36" s="29">
        <v>223.7757</v>
      </c>
      <c r="AB36" s="28">
        <f t="shared" si="39"/>
        <v>2187.6066999999998</v>
      </c>
      <c r="AC36" s="29">
        <v>292.6157</v>
      </c>
      <c r="AD36" s="39">
        <v>488.24099999999999</v>
      </c>
      <c r="AE36" s="28">
        <f t="shared" si="2"/>
        <v>2480.2223999999997</v>
      </c>
      <c r="AF36" s="30"/>
      <c r="AG36" s="40">
        <v>49.037799999999997</v>
      </c>
      <c r="AH36" s="31">
        <f t="shared" si="40"/>
        <v>-177.26019999999966</v>
      </c>
      <c r="AI36" s="28">
        <f t="shared" si="41"/>
        <v>-128.22239999999965</v>
      </c>
      <c r="AK36" s="32">
        <f t="shared" si="3"/>
        <v>3396.9819799999996</v>
      </c>
      <c r="AL36" s="32">
        <f t="shared" si="4"/>
        <v>387.08117982753402</v>
      </c>
      <c r="AM36" s="32">
        <f t="shared" si="5"/>
        <v>506.15875804236003</v>
      </c>
      <c r="AN36" s="32">
        <f t="shared" si="42"/>
        <v>844.54613400907715</v>
      </c>
      <c r="AO36" s="32">
        <f t="shared" si="6"/>
        <v>4068.4262632375189</v>
      </c>
      <c r="AP36" s="33">
        <f t="shared" si="7"/>
        <v>0</v>
      </c>
      <c r="AQ36" s="33">
        <f t="shared" si="43"/>
        <v>844.54613400907715</v>
      </c>
      <c r="AS36" s="33">
        <f t="shared" si="8"/>
        <v>3290.0171886360663</v>
      </c>
      <c r="AT36" s="33">
        <f t="shared" si="9"/>
        <v>374.8926966725079</v>
      </c>
      <c r="AU36" s="33">
        <f t="shared" si="10"/>
        <v>490.22073827369798</v>
      </c>
      <c r="AV36" s="33">
        <f t="shared" si="44"/>
        <v>817.95291050852222</v>
      </c>
      <c r="AW36" s="33">
        <f t="shared" si="11"/>
        <v>4155.1306235822722</v>
      </c>
      <c r="AX36" s="33">
        <f t="shared" si="12"/>
        <v>3940.3189111853453</v>
      </c>
      <c r="AY36" s="33">
        <f t="shared" si="45"/>
        <v>0</v>
      </c>
      <c r="AZ36" s="33">
        <f t="shared" si="46"/>
        <v>817.95291050852222</v>
      </c>
      <c r="BA36" s="38"/>
      <c r="BB36" s="32">
        <f t="shared" si="13"/>
        <v>5690.9831363732301</v>
      </c>
      <c r="BC36" s="32">
        <f t="shared" si="14"/>
        <v>648.47929125780945</v>
      </c>
      <c r="BD36" s="32">
        <f t="shared" si="15"/>
        <v>847.97063196275462</v>
      </c>
      <c r="BE36" s="32">
        <f t="shared" si="16"/>
        <v>6815.8575441317707</v>
      </c>
      <c r="BF36" s="32">
        <f t="shared" si="47"/>
        <v>1414.8729180290986</v>
      </c>
      <c r="BG36" s="32">
        <f t="shared" si="48"/>
        <v>8602.3059776228929</v>
      </c>
      <c r="BH36" s="32">
        <f t="shared" si="17"/>
        <v>0</v>
      </c>
      <c r="BI36" s="32">
        <f t="shared" si="49"/>
        <v>1414.8729180290986</v>
      </c>
      <c r="BJ36" s="32">
        <f t="shared" si="55"/>
        <v>-371.57551546202353</v>
      </c>
      <c r="BK36" s="32"/>
      <c r="BM36" s="32">
        <v>1257.1727000000001</v>
      </c>
      <c r="BN36" s="32">
        <v>19.9939</v>
      </c>
      <c r="BO36" s="32">
        <v>465.16980000000001</v>
      </c>
      <c r="BP36" s="34">
        <f t="shared" si="18"/>
        <v>4094.3364000000001</v>
      </c>
      <c r="BQ36" s="34">
        <f t="shared" si="51"/>
        <v>3221.0037000000002</v>
      </c>
      <c r="BR36" s="34">
        <f t="shared" si="51"/>
        <v>243.7696</v>
      </c>
      <c r="BS36" s="34">
        <f t="shared" si="52"/>
        <v>757.78549999999996</v>
      </c>
      <c r="BU36" s="34">
        <f t="shared" si="19"/>
        <v>2174.6234821875946</v>
      </c>
      <c r="BV36" s="34">
        <f t="shared" si="20"/>
        <v>34.584909806354005</v>
      </c>
      <c r="BW36" s="35">
        <f t="shared" si="21"/>
        <v>804.6381935310136</v>
      </c>
      <c r="BX36" s="34">
        <f t="shared" si="50"/>
        <v>844.54613400907715</v>
      </c>
      <c r="BY36" s="34">
        <f t="shared" si="22"/>
        <v>7082.2728487624809</v>
      </c>
      <c r="CA36" s="34">
        <f t="shared" si="23"/>
        <v>3643.159027028702</v>
      </c>
      <c r="CB36" s="35">
        <f t="shared" si="24"/>
        <v>57.940295132489879</v>
      </c>
      <c r="CC36" s="34">
        <f t="shared" si="25"/>
        <v>1348.014919486508</v>
      </c>
      <c r="CD36" s="34">
        <f t="shared" si="26"/>
        <v>1414.8729180290986</v>
      </c>
      <c r="CE36" s="34">
        <f t="shared" si="27"/>
        <v>11864.971785779469</v>
      </c>
      <c r="CG36" s="34">
        <f t="shared" si="57"/>
        <v>9334.1421634019316</v>
      </c>
      <c r="CH36" s="34">
        <f t="shared" si="57"/>
        <v>706.41958639029929</v>
      </c>
      <c r="CI36" s="34">
        <f t="shared" si="57"/>
        <v>2195.9855514492629</v>
      </c>
      <c r="CJ36" s="34">
        <f t="shared" si="29"/>
        <v>1414.8729180290986</v>
      </c>
      <c r="CK36" s="34">
        <f t="shared" si="30"/>
        <v>13279.844703808569</v>
      </c>
      <c r="CL36" s="34">
        <f t="shared" si="31"/>
        <v>12236.547301241493</v>
      </c>
      <c r="CM36" s="34">
        <f t="shared" si="32"/>
        <v>3634.2413236186003</v>
      </c>
      <c r="CO36" s="34">
        <f t="shared" si="33"/>
        <v>6859.264942888829</v>
      </c>
      <c r="CP36" s="34">
        <f t="shared" si="34"/>
        <v>7677.217853397352</v>
      </c>
      <c r="CQ36" s="34">
        <f t="shared" si="35"/>
        <v>817.95291050852222</v>
      </c>
      <c r="CR36" s="34">
        <f t="shared" si="36"/>
        <v>2100.9931211949611</v>
      </c>
      <c r="CS36" s="34">
        <f t="shared" si="37"/>
        <v>4973.0835340907943</v>
      </c>
    </row>
    <row r="37" spans="1:97" x14ac:dyDescent="0.25">
      <c r="A37" s="14" t="s">
        <v>127</v>
      </c>
      <c r="B37" t="s">
        <v>97</v>
      </c>
      <c r="C37" s="15">
        <v>600622</v>
      </c>
      <c r="D37" s="36">
        <v>135</v>
      </c>
      <c r="E37" s="17">
        <f t="shared" si="56"/>
        <v>2.1180030257186067E-2</v>
      </c>
      <c r="F37" s="37">
        <f t="shared" si="53"/>
        <v>1.6938962962962962</v>
      </c>
      <c r="G37" s="18">
        <v>14.08</v>
      </c>
      <c r="H37" s="20">
        <v>61.5</v>
      </c>
      <c r="I37" s="20">
        <v>17.8</v>
      </c>
      <c r="J37" s="20">
        <v>692.1</v>
      </c>
      <c r="K37" s="20"/>
      <c r="L37" s="20"/>
      <c r="M37" s="20">
        <v>516.1</v>
      </c>
      <c r="N37" s="19">
        <v>5.0999999999999996</v>
      </c>
      <c r="O37" s="19">
        <v>0.1</v>
      </c>
      <c r="P37" s="21">
        <f t="shared" si="0"/>
        <v>1292.6999999999998</v>
      </c>
      <c r="Q37" s="20">
        <f t="shared" si="54"/>
        <v>39189.600000000006</v>
      </c>
      <c r="R37" s="20">
        <v>359.8</v>
      </c>
      <c r="S37" s="20"/>
      <c r="T37" s="22">
        <f t="shared" si="38"/>
        <v>1652.4999999999998</v>
      </c>
      <c r="U37" s="23">
        <f t="shared" si="1"/>
        <v>0.78226928895612713</v>
      </c>
      <c r="V37" s="24"/>
      <c r="W37" s="20">
        <v>531.89</v>
      </c>
      <c r="X37" s="24"/>
      <c r="Z37" s="41">
        <v>2009.579</v>
      </c>
      <c r="AA37" s="29">
        <v>76.231800000000007</v>
      </c>
      <c r="AB37" s="28">
        <f t="shared" si="39"/>
        <v>2085.8107999999997</v>
      </c>
      <c r="AC37" s="29">
        <v>442.78429999999997</v>
      </c>
      <c r="AD37" s="39">
        <v>531.89</v>
      </c>
      <c r="AE37" s="28">
        <f t="shared" si="2"/>
        <v>2528.5950999999995</v>
      </c>
      <c r="AF37" s="30"/>
      <c r="AG37" s="40">
        <v>4.9923000000000002</v>
      </c>
      <c r="AH37" s="31">
        <f t="shared" si="40"/>
        <v>-881.08739999999977</v>
      </c>
      <c r="AI37" s="28">
        <f t="shared" si="41"/>
        <v>-876.09509999999977</v>
      </c>
      <c r="AK37" s="32">
        <f t="shared" si="3"/>
        <v>3404.0184252148147</v>
      </c>
      <c r="AL37" s="32">
        <f t="shared" si="4"/>
        <v>129.12876368000002</v>
      </c>
      <c r="AM37" s="32">
        <f t="shared" si="5"/>
        <v>750.03068582814808</v>
      </c>
      <c r="AN37" s="32">
        <f t="shared" si="42"/>
        <v>900.96650103703701</v>
      </c>
      <c r="AO37" s="32">
        <f t="shared" si="6"/>
        <v>2799.1636296296292</v>
      </c>
      <c r="AP37" s="33">
        <f t="shared" si="7"/>
        <v>0</v>
      </c>
      <c r="AQ37" s="33">
        <f t="shared" si="43"/>
        <v>900.96650103703701</v>
      </c>
      <c r="AS37" s="33">
        <f t="shared" si="8"/>
        <v>3345.8298230834034</v>
      </c>
      <c r="AT37" s="33">
        <f t="shared" si="9"/>
        <v>126.92142478963476</v>
      </c>
      <c r="AU37" s="33">
        <f t="shared" si="10"/>
        <v>737.20959272221126</v>
      </c>
      <c r="AV37" s="33">
        <f t="shared" si="44"/>
        <v>885.56529730845682</v>
      </c>
      <c r="AW37" s="33">
        <f t="shared" si="11"/>
        <v>4209.9608405952495</v>
      </c>
      <c r="AX37" s="33">
        <f t="shared" si="12"/>
        <v>2751.3144706654098</v>
      </c>
      <c r="AY37" s="33">
        <f t="shared" si="45"/>
        <v>0</v>
      </c>
      <c r="AZ37" s="33">
        <f t="shared" si="46"/>
        <v>885.56529730845693</v>
      </c>
      <c r="BA37" s="38"/>
      <c r="BB37" s="32">
        <f t="shared" si="13"/>
        <v>5667.4887453586698</v>
      </c>
      <c r="BC37" s="32">
        <f t="shared" si="14"/>
        <v>214.99173137181126</v>
      </c>
      <c r="BD37" s="32">
        <f t="shared" si="15"/>
        <v>1248.7565987062546</v>
      </c>
      <c r="BE37" s="32">
        <f t="shared" si="16"/>
        <v>4660.4413918065429</v>
      </c>
      <c r="BF37" s="32">
        <f t="shared" si="47"/>
        <v>1500.0557772393236</v>
      </c>
      <c r="BG37" s="32">
        <f t="shared" si="48"/>
        <v>8631.2928526760588</v>
      </c>
      <c r="BH37" s="32">
        <f t="shared" si="17"/>
        <v>0</v>
      </c>
      <c r="BI37" s="32">
        <f t="shared" si="49"/>
        <v>1500.0557772393236</v>
      </c>
      <c r="BJ37" s="32">
        <f t="shared" si="55"/>
        <v>-2470.7956836301923</v>
      </c>
      <c r="BK37" s="32"/>
      <c r="BM37" s="32">
        <v>1364.181</v>
      </c>
      <c r="BN37" s="32">
        <v>12.555300000000001</v>
      </c>
      <c r="BO37" s="32">
        <v>537.11990000000003</v>
      </c>
      <c r="BP37" s="34">
        <f t="shared" si="18"/>
        <v>3566.3562000000002</v>
      </c>
      <c r="BQ37" s="34">
        <f t="shared" si="51"/>
        <v>3373.76</v>
      </c>
      <c r="BR37" s="34">
        <f t="shared" si="51"/>
        <v>88.787100000000009</v>
      </c>
      <c r="BS37" s="34">
        <f t="shared" si="52"/>
        <v>979.90419999999995</v>
      </c>
      <c r="BU37" s="34">
        <f t="shared" si="19"/>
        <v>2310.7811433777779</v>
      </c>
      <c r="BV37" s="34">
        <f t="shared" si="20"/>
        <v>21.267376168888891</v>
      </c>
      <c r="BW37" s="35">
        <f t="shared" si="21"/>
        <v>909.82540927703701</v>
      </c>
      <c r="BX37" s="34">
        <f t="shared" si="50"/>
        <v>900.96650103703701</v>
      </c>
      <c r="BY37" s="34">
        <f t="shared" si="22"/>
        <v>6041.0375584533331</v>
      </c>
      <c r="CA37" s="34">
        <f t="shared" si="23"/>
        <v>3847.3135239431422</v>
      </c>
      <c r="CB37" s="35">
        <f t="shared" si="24"/>
        <v>35.408919701391042</v>
      </c>
      <c r="CC37" s="34">
        <f t="shared" si="25"/>
        <v>1514.8053339322187</v>
      </c>
      <c r="CD37" s="34">
        <f t="shared" si="26"/>
        <v>1500.0557772393236</v>
      </c>
      <c r="CE37" s="34">
        <f t="shared" si="27"/>
        <v>10057.969169383294</v>
      </c>
      <c r="CG37" s="34">
        <f t="shared" si="57"/>
        <v>9514.802269301812</v>
      </c>
      <c r="CH37" s="34">
        <f t="shared" si="57"/>
        <v>250.40065107320231</v>
      </c>
      <c r="CI37" s="34">
        <f t="shared" si="57"/>
        <v>2763.5619326384731</v>
      </c>
      <c r="CJ37" s="34">
        <f t="shared" si="29"/>
        <v>1500.0557772393236</v>
      </c>
      <c r="CK37" s="34">
        <f t="shared" si="30"/>
        <v>11558.024946622618</v>
      </c>
      <c r="CL37" s="34">
        <f t="shared" si="31"/>
        <v>12528.764853013487</v>
      </c>
      <c r="CM37" s="34">
        <f t="shared" si="32"/>
        <v>3897.4720003374277</v>
      </c>
      <c r="CO37" s="34">
        <f t="shared" si="33"/>
        <v>5937.7715102010907</v>
      </c>
      <c r="CP37" s="34">
        <f t="shared" si="34"/>
        <v>6823.3368075095486</v>
      </c>
      <c r="CQ37" s="34">
        <f t="shared" si="35"/>
        <v>885.56529730845693</v>
      </c>
      <c r="CR37" s="34">
        <f t="shared" si="36"/>
        <v>2300.8917422272243</v>
      </c>
      <c r="CS37" s="34">
        <f t="shared" si="37"/>
        <v>5095.5261379037065</v>
      </c>
    </row>
    <row r="38" spans="1:97" x14ac:dyDescent="0.25">
      <c r="A38" s="14" t="s">
        <v>128</v>
      </c>
      <c r="B38" t="s">
        <v>129</v>
      </c>
      <c r="C38" s="15">
        <v>601581</v>
      </c>
      <c r="D38" s="36">
        <v>138.9</v>
      </c>
      <c r="E38" s="17">
        <f t="shared" si="56"/>
        <v>2.8888888888888964E-2</v>
      </c>
      <c r="F38" s="37">
        <f t="shared" si="53"/>
        <v>1.6463354931605469</v>
      </c>
      <c r="G38" s="18">
        <v>16.850000000000001</v>
      </c>
      <c r="H38" s="20">
        <v>57.3</v>
      </c>
      <c r="I38" s="20">
        <v>128.5</v>
      </c>
      <c r="J38" s="20">
        <v>793.9</v>
      </c>
      <c r="K38" s="20"/>
      <c r="L38" s="20"/>
      <c r="M38" s="20">
        <v>631.79999999999995</v>
      </c>
      <c r="N38" s="19">
        <v>5</v>
      </c>
      <c r="O38" s="19">
        <v>0.7</v>
      </c>
      <c r="P38" s="21">
        <f t="shared" si="0"/>
        <v>1617.2</v>
      </c>
      <c r="Q38" s="20">
        <f t="shared" si="54"/>
        <v>40806.800000000003</v>
      </c>
      <c r="R38" s="20">
        <v>465.7</v>
      </c>
      <c r="S38" s="20"/>
      <c r="T38" s="22">
        <f>+P38+R38</f>
        <v>2082.9</v>
      </c>
      <c r="U38" s="23">
        <f t="shared" si="1"/>
        <v>0.77641749483892653</v>
      </c>
      <c r="V38" s="24"/>
      <c r="W38" s="20">
        <v>555.59500000000003</v>
      </c>
      <c r="X38" s="24"/>
      <c r="Z38" s="26">
        <v>2007.2686000000001</v>
      </c>
      <c r="AA38" s="29">
        <v>231.13120000000001</v>
      </c>
      <c r="AB38" s="28">
        <f t="shared" si="39"/>
        <v>2238.3998000000001</v>
      </c>
      <c r="AC38" s="29">
        <v>79.976600000000005</v>
      </c>
      <c r="AD38" s="39">
        <v>555.59500000000003</v>
      </c>
      <c r="AE38" s="28">
        <f t="shared" si="2"/>
        <v>2318.3764000000001</v>
      </c>
      <c r="AF38" s="30"/>
      <c r="AG38" s="40">
        <v>74.297200000000004</v>
      </c>
      <c r="AH38" s="31">
        <f t="shared" si="40"/>
        <v>-309.77359999999999</v>
      </c>
      <c r="AI38" s="28">
        <f t="shared" si="41"/>
        <v>-235.47640000000001</v>
      </c>
      <c r="AK38" s="32">
        <f t="shared" si="3"/>
        <v>3304.6375404866808</v>
      </c>
      <c r="AL38" s="32">
        <f t="shared" si="4"/>
        <v>380.51949813678903</v>
      </c>
      <c r="AM38" s="32">
        <f t="shared" si="5"/>
        <v>131.6683152023038</v>
      </c>
      <c r="AN38" s="32">
        <f t="shared" si="42"/>
        <v>914.69576832253415</v>
      </c>
      <c r="AO38" s="32">
        <f t="shared" si="6"/>
        <v>3429.1521987041033</v>
      </c>
      <c r="AP38" s="33">
        <f t="shared" si="7"/>
        <v>0</v>
      </c>
      <c r="AQ38" s="33">
        <f t="shared" si="43"/>
        <v>914.69576832253415</v>
      </c>
      <c r="AS38" s="33">
        <f t="shared" si="8"/>
        <v>3336.655579215434</v>
      </c>
      <c r="AT38" s="33">
        <f t="shared" si="9"/>
        <v>384.20628311067003</v>
      </c>
      <c r="AU38" s="33">
        <f t="shared" si="10"/>
        <v>132.94402582528372</v>
      </c>
      <c r="AV38" s="33">
        <f t="shared" si="44"/>
        <v>923.55809109662709</v>
      </c>
      <c r="AW38" s="33">
        <f t="shared" si="11"/>
        <v>3853.805888151388</v>
      </c>
      <c r="AX38" s="33">
        <f t="shared" si="12"/>
        <v>3462.3766375600294</v>
      </c>
      <c r="AY38" s="33">
        <f t="shared" si="45"/>
        <v>0</v>
      </c>
      <c r="AZ38" s="33">
        <f t="shared" si="46"/>
        <v>923.55809109662709</v>
      </c>
      <c r="BA38" s="38"/>
      <c r="BB38" s="32">
        <f t="shared" si="13"/>
        <v>5493.2545085145321</v>
      </c>
      <c r="BC38" s="32">
        <f t="shared" si="14"/>
        <v>632.5324405803857</v>
      </c>
      <c r="BD38" s="32">
        <f t="shared" si="15"/>
        <v>218.87046831981695</v>
      </c>
      <c r="BE38" s="32">
        <f t="shared" si="16"/>
        <v>5700.2335491049471</v>
      </c>
      <c r="BF38" s="32">
        <f t="shared" si="47"/>
        <v>1520.4864653679788</v>
      </c>
      <c r="BG38" s="32">
        <f t="shared" si="48"/>
        <v>7865.1438827827133</v>
      </c>
      <c r="BH38" s="32">
        <f t="shared" si="17"/>
        <v>0</v>
      </c>
      <c r="BI38" s="32">
        <f t="shared" si="49"/>
        <v>1520.4864653679788</v>
      </c>
      <c r="BJ38" s="32">
        <f t="shared" si="55"/>
        <v>-644.42386830978739</v>
      </c>
      <c r="BK38" s="32"/>
      <c r="BM38" s="32">
        <v>1366.6695999999999</v>
      </c>
      <c r="BN38" s="32">
        <v>90.979799999999997</v>
      </c>
      <c r="BO38" s="32">
        <v>574.79349999999999</v>
      </c>
      <c r="BP38" s="34">
        <f t="shared" si="18"/>
        <v>4115.3428999999996</v>
      </c>
      <c r="BQ38" s="34">
        <f t="shared" si="51"/>
        <v>3373.9382000000001</v>
      </c>
      <c r="BR38" s="34">
        <f t="shared" si="51"/>
        <v>322.11099999999999</v>
      </c>
      <c r="BS38" s="34">
        <f t="shared" si="52"/>
        <v>654.77009999999996</v>
      </c>
      <c r="BU38" s="34">
        <f t="shared" si="19"/>
        <v>2249.9966699035272</v>
      </c>
      <c r="BV38" s="34">
        <f t="shared" si="20"/>
        <v>149.78327390064791</v>
      </c>
      <c r="BW38" s="35">
        <f t="shared" si="21"/>
        <v>946.30294028797687</v>
      </c>
      <c r="BX38" s="34">
        <f t="shared" si="50"/>
        <v>914.69576832253415</v>
      </c>
      <c r="BY38" s="34">
        <f t="shared" si="22"/>
        <v>6775.2350827962546</v>
      </c>
      <c r="CA38" s="34">
        <f t="shared" si="23"/>
        <v>3740.1391830917651</v>
      </c>
      <c r="CB38" s="35">
        <f t="shared" si="24"/>
        <v>248.98272036624812</v>
      </c>
      <c r="CC38" s="34">
        <f t="shared" si="25"/>
        <v>1573.0266419451027</v>
      </c>
      <c r="CD38" s="34">
        <f t="shared" si="26"/>
        <v>1520.4864653679788</v>
      </c>
      <c r="CE38" s="34">
        <f t="shared" si="27"/>
        <v>11262.382094508062</v>
      </c>
      <c r="CG38" s="34">
        <f t="shared" si="57"/>
        <v>9233.3936916062976</v>
      </c>
      <c r="CH38" s="34">
        <f t="shared" si="57"/>
        <v>881.51516094663384</v>
      </c>
      <c r="CI38" s="34">
        <f t="shared" si="57"/>
        <v>1791.8971102649198</v>
      </c>
      <c r="CJ38" s="34">
        <f t="shared" si="29"/>
        <v>1520.4864653679788</v>
      </c>
      <c r="CK38" s="34">
        <f t="shared" si="30"/>
        <v>12782.868559876042</v>
      </c>
      <c r="CL38" s="34">
        <f t="shared" si="31"/>
        <v>11906.805962817851</v>
      </c>
      <c r="CM38" s="34">
        <f t="shared" si="32"/>
        <v>4041.6620800351375</v>
      </c>
      <c r="CO38" s="34">
        <f t="shared" si="33"/>
        <v>6840.8791168604057</v>
      </c>
      <c r="CP38" s="34">
        <f t="shared" si="34"/>
        <v>7764.437207957033</v>
      </c>
      <c r="CQ38" s="34">
        <f t="shared" si="35"/>
        <v>923.55809109662709</v>
      </c>
      <c r="CR38" s="34">
        <f t="shared" si="36"/>
        <v>2454.9443882037499</v>
      </c>
      <c r="CS38" s="34">
        <f t="shared" si="37"/>
        <v>4777.3639792480144</v>
      </c>
    </row>
    <row r="39" spans="1:97" x14ac:dyDescent="0.25">
      <c r="A39" s="14" t="s">
        <v>130</v>
      </c>
      <c r="B39" t="s">
        <v>129</v>
      </c>
      <c r="C39" s="15">
        <v>605212</v>
      </c>
      <c r="D39" s="36">
        <v>142.69999999999999</v>
      </c>
      <c r="E39" s="17">
        <f t="shared" si="56"/>
        <v>2.7357811375089858E-2</v>
      </c>
      <c r="F39" s="37">
        <f t="shared" si="53"/>
        <v>1.6024947442186406</v>
      </c>
      <c r="G39" s="18">
        <v>17.87</v>
      </c>
      <c r="H39" s="20">
        <v>56</v>
      </c>
      <c r="I39" s="20">
        <v>173.7</v>
      </c>
      <c r="J39" s="20">
        <v>787.2</v>
      </c>
      <c r="K39" s="20"/>
      <c r="L39" s="20"/>
      <c r="M39" s="20">
        <v>642.20000000000005</v>
      </c>
      <c r="N39" s="19">
        <v>5.7</v>
      </c>
      <c r="O39" s="19"/>
      <c r="P39" s="21">
        <f t="shared" si="0"/>
        <v>1664.8000000000002</v>
      </c>
      <c r="Q39" s="20">
        <f t="shared" si="54"/>
        <v>42471.600000000006</v>
      </c>
      <c r="R39" s="20">
        <v>468.5</v>
      </c>
      <c r="S39" s="20"/>
      <c r="T39" s="22">
        <f t="shared" si="38"/>
        <v>2133.3000000000002</v>
      </c>
      <c r="U39" s="23">
        <f t="shared" si="1"/>
        <v>0.78038719354989927</v>
      </c>
      <c r="V39" s="24"/>
      <c r="W39" s="20">
        <v>1063.242</v>
      </c>
      <c r="X39" s="24"/>
      <c r="Z39" s="26">
        <v>2131.433</v>
      </c>
      <c r="AA39" s="29">
        <v>136.19990000000001</v>
      </c>
      <c r="AB39" s="28">
        <f t="shared" si="39"/>
        <v>2267.6329000000001</v>
      </c>
      <c r="AC39" s="29">
        <v>115.065</v>
      </c>
      <c r="AD39" s="39">
        <v>1063.242</v>
      </c>
      <c r="AE39" s="28">
        <f t="shared" si="2"/>
        <v>2382.6979000000001</v>
      </c>
      <c r="AF39" s="30"/>
      <c r="AG39" s="40">
        <v>47.162300000000002</v>
      </c>
      <c r="AH39" s="31">
        <f t="shared" si="40"/>
        <v>-296.56019999999995</v>
      </c>
      <c r="AI39" s="28">
        <f t="shared" si="41"/>
        <v>-249.39789999999994</v>
      </c>
      <c r="AK39" s="32">
        <f t="shared" si="3"/>
        <v>3415.6101801541699</v>
      </c>
      <c r="AL39" s="32">
        <f t="shared" si="4"/>
        <v>218.25962391310443</v>
      </c>
      <c r="AM39" s="32">
        <f t="shared" si="5"/>
        <v>184.39105774351788</v>
      </c>
      <c r="AN39" s="32">
        <f t="shared" si="42"/>
        <v>1703.8397168325157</v>
      </c>
      <c r="AO39" s="32">
        <f t="shared" si="6"/>
        <v>3418.602037841626</v>
      </c>
      <c r="AP39" s="33">
        <f t="shared" si="7"/>
        <v>0</v>
      </c>
      <c r="AQ39" s="33">
        <f t="shared" si="43"/>
        <v>1703.8397168325157</v>
      </c>
      <c r="AS39" s="33">
        <f t="shared" si="8"/>
        <v>3521.7956682947465</v>
      </c>
      <c r="AT39" s="33">
        <f t="shared" si="9"/>
        <v>225.04494292908933</v>
      </c>
      <c r="AU39" s="33">
        <f t="shared" si="10"/>
        <v>190.12346086991005</v>
      </c>
      <c r="AV39" s="33">
        <f t="shared" si="44"/>
        <v>1756.8091842197446</v>
      </c>
      <c r="AW39" s="33">
        <f t="shared" si="11"/>
        <v>3936.9640720937459</v>
      </c>
      <c r="AX39" s="33">
        <f t="shared" si="12"/>
        <v>3524.8805377289286</v>
      </c>
      <c r="AY39" s="33">
        <f t="shared" si="45"/>
        <v>0</v>
      </c>
      <c r="AZ39" s="33">
        <f t="shared" si="46"/>
        <v>1756.8091842197446</v>
      </c>
      <c r="BA39" s="38"/>
      <c r="BB39" s="32">
        <f t="shared" si="13"/>
        <v>5643.6590486543064</v>
      </c>
      <c r="BC39" s="32">
        <f t="shared" si="14"/>
        <v>360.63333825684958</v>
      </c>
      <c r="BD39" s="32">
        <f t="shared" si="15"/>
        <v>304.67184679668924</v>
      </c>
      <c r="BE39" s="32">
        <f t="shared" si="16"/>
        <v>5648.602535709183</v>
      </c>
      <c r="BF39" s="32">
        <f t="shared" si="47"/>
        <v>2815.2774843071779</v>
      </c>
      <c r="BG39" s="32">
        <f t="shared" si="48"/>
        <v>9124.2417180150242</v>
      </c>
      <c r="BH39" s="32">
        <f t="shared" si="17"/>
        <v>0</v>
      </c>
      <c r="BI39" s="32">
        <f t="shared" si="49"/>
        <v>2815.2774843071779</v>
      </c>
      <c r="BJ39" s="32">
        <f t="shared" si="55"/>
        <v>-660.3616979986632</v>
      </c>
      <c r="BK39" s="32"/>
      <c r="BM39" s="32">
        <v>1300.4139</v>
      </c>
      <c r="BN39" s="32">
        <v>22.375299999999999</v>
      </c>
      <c r="BO39" s="32">
        <v>450.08789999999999</v>
      </c>
      <c r="BP39" s="34">
        <f t="shared" si="18"/>
        <v>3906.1770999999999</v>
      </c>
      <c r="BQ39" s="34">
        <f t="shared" si="51"/>
        <v>3431.8469</v>
      </c>
      <c r="BR39" s="34">
        <f t="shared" si="51"/>
        <v>158.57520000000002</v>
      </c>
      <c r="BS39" s="34">
        <f t="shared" si="52"/>
        <v>565.15290000000005</v>
      </c>
      <c r="BU39" s="34">
        <f t="shared" si="19"/>
        <v>2083.906440058865</v>
      </c>
      <c r="BV39" s="34">
        <f t="shared" si="20"/>
        <v>35.856300650315347</v>
      </c>
      <c r="BW39" s="35">
        <f t="shared" si="21"/>
        <v>721.26349418640507</v>
      </c>
      <c r="BX39" s="34">
        <f t="shared" si="50"/>
        <v>1703.8397168325157</v>
      </c>
      <c r="BY39" s="34">
        <f t="shared" si="22"/>
        <v>6259.6282727372109</v>
      </c>
      <c r="CA39" s="34">
        <f t="shared" si="23"/>
        <v>3443.266888394257</v>
      </c>
      <c r="CB39" s="35">
        <f t="shared" si="24"/>
        <v>59.245852115151962</v>
      </c>
      <c r="CC39" s="34">
        <f t="shared" si="25"/>
        <v>1191.7534586003005</v>
      </c>
      <c r="CD39" s="34">
        <f t="shared" si="26"/>
        <v>2815.2774843071779</v>
      </c>
      <c r="CE39" s="34">
        <f t="shared" si="27"/>
        <v>10342.868734818892</v>
      </c>
      <c r="CG39" s="34">
        <f t="shared" si="57"/>
        <v>9086.9259370485634</v>
      </c>
      <c r="CH39" s="34">
        <f t="shared" si="57"/>
        <v>419.87919037200152</v>
      </c>
      <c r="CI39" s="34">
        <f t="shared" si="57"/>
        <v>1496.4253053969896</v>
      </c>
      <c r="CJ39" s="34">
        <f t="shared" si="29"/>
        <v>2815.2774843071779</v>
      </c>
      <c r="CK39" s="34">
        <f t="shared" si="30"/>
        <v>13158.146219126071</v>
      </c>
      <c r="CL39" s="34">
        <f t="shared" si="31"/>
        <v>11003.230432817554</v>
      </c>
      <c r="CM39" s="34">
        <f t="shared" si="32"/>
        <v>1878.98871480253</v>
      </c>
      <c r="CO39" s="34">
        <f t="shared" si="33"/>
        <v>6454.2294270437469</v>
      </c>
      <c r="CP39" s="34">
        <f t="shared" si="34"/>
        <v>8211.0386112634915</v>
      </c>
      <c r="CQ39" s="34">
        <f t="shared" si="35"/>
        <v>1756.8091842197446</v>
      </c>
      <c r="CR39" s="34">
        <f t="shared" si="36"/>
        <v>1172.5397050950735</v>
      </c>
      <c r="CS39" s="34">
        <f t="shared" si="37"/>
        <v>5693.7732563134914</v>
      </c>
    </row>
    <row r="40" spans="1:97" x14ac:dyDescent="0.25">
      <c r="A40" s="14" t="s">
        <v>131</v>
      </c>
      <c r="B40" t="s">
        <v>129</v>
      </c>
      <c r="C40" s="15">
        <v>609655</v>
      </c>
      <c r="D40" s="36">
        <v>144.80000000000001</v>
      </c>
      <c r="E40" s="17">
        <f t="shared" si="56"/>
        <v>1.4716187806587344E-2</v>
      </c>
      <c r="F40" s="37">
        <f t="shared" si="53"/>
        <v>1.5792541436464087</v>
      </c>
      <c r="G40" s="18">
        <v>20.76</v>
      </c>
      <c r="H40" s="20">
        <v>53.6</v>
      </c>
      <c r="I40" s="20">
        <v>269.39999999999998</v>
      </c>
      <c r="J40" s="20">
        <v>921.6</v>
      </c>
      <c r="K40" s="20"/>
      <c r="L40" s="20"/>
      <c r="M40" s="20">
        <v>759.2</v>
      </c>
      <c r="N40" s="19">
        <v>6.4</v>
      </c>
      <c r="O40" s="19"/>
      <c r="P40" s="21">
        <f t="shared" si="0"/>
        <v>2010.2</v>
      </c>
      <c r="Q40" s="20">
        <f t="shared" si="54"/>
        <v>44481.8</v>
      </c>
      <c r="R40" s="20">
        <v>484.7</v>
      </c>
      <c r="S40" s="20"/>
      <c r="T40" s="22">
        <f t="shared" si="38"/>
        <v>2494.9</v>
      </c>
      <c r="U40" s="23">
        <f t="shared" si="1"/>
        <v>0.80572367629965125</v>
      </c>
      <c r="V40" s="24"/>
      <c r="W40" s="20">
        <v>536.17520000000002</v>
      </c>
      <c r="X40" s="24"/>
      <c r="Z40" s="26">
        <v>2092.4196000000002</v>
      </c>
      <c r="AA40" s="29">
        <v>109.017</v>
      </c>
      <c r="AB40" s="28">
        <f t="shared" si="39"/>
        <v>2201.4366</v>
      </c>
      <c r="AC40" s="29">
        <v>106.7585</v>
      </c>
      <c r="AD40" s="39">
        <v>536.17520000000002</v>
      </c>
      <c r="AE40" s="28">
        <f t="shared" si="2"/>
        <v>2308.1950999999999</v>
      </c>
      <c r="AF40" s="30"/>
      <c r="AG40" s="40">
        <v>42.333199999999998</v>
      </c>
      <c r="AH40" s="31">
        <f t="shared" si="40"/>
        <v>144.37170000000017</v>
      </c>
      <c r="AI40" s="28">
        <f t="shared" si="41"/>
        <v>186.70490000000018</v>
      </c>
      <c r="AK40" s="32">
        <f t="shared" si="3"/>
        <v>3304.4623235469612</v>
      </c>
      <c r="AL40" s="32">
        <f t="shared" si="4"/>
        <v>172.16554897790053</v>
      </c>
      <c r="AM40" s="32">
        <f t="shared" si="5"/>
        <v>168.59880349447511</v>
      </c>
      <c r="AN40" s="32">
        <f t="shared" si="42"/>
        <v>846.756906320442</v>
      </c>
      <c r="AO40" s="32">
        <f t="shared" si="6"/>
        <v>3940.0811629834252</v>
      </c>
      <c r="AP40" s="33">
        <f t="shared" si="7"/>
        <v>0</v>
      </c>
      <c r="AQ40" s="33">
        <f t="shared" si="43"/>
        <v>846.756906320442</v>
      </c>
      <c r="AS40" s="33">
        <f t="shared" si="8"/>
        <v>3432.1371923464917</v>
      </c>
      <c r="AT40" s="33">
        <f t="shared" si="9"/>
        <v>178.81752794613348</v>
      </c>
      <c r="AU40" s="33">
        <f t="shared" si="10"/>
        <v>175.11297373104463</v>
      </c>
      <c r="AV40" s="33">
        <f t="shared" si="44"/>
        <v>879.47314464738258</v>
      </c>
      <c r="AW40" s="33">
        <f t="shared" si="11"/>
        <v>3786.0676940236699</v>
      </c>
      <c r="AX40" s="33">
        <f t="shared" si="12"/>
        <v>4092.3145057450529</v>
      </c>
      <c r="AY40" s="33">
        <f t="shared" si="45"/>
        <v>0</v>
      </c>
      <c r="AZ40" s="33">
        <f t="shared" si="46"/>
        <v>879.4731446473827</v>
      </c>
      <c r="BA40" s="38"/>
      <c r="BB40" s="32">
        <f t="shared" si="13"/>
        <v>5420.2168825761482</v>
      </c>
      <c r="BC40" s="32">
        <f t="shared" si="14"/>
        <v>282.3983219655388</v>
      </c>
      <c r="BD40" s="32">
        <f t="shared" si="15"/>
        <v>276.54788937099693</v>
      </c>
      <c r="BE40" s="32">
        <f t="shared" si="16"/>
        <v>6462.8046403021799</v>
      </c>
      <c r="BF40" s="32">
        <f t="shared" si="47"/>
        <v>1388.9116079101166</v>
      </c>
      <c r="BG40" s="32">
        <f t="shared" si="48"/>
        <v>7368.0747018228012</v>
      </c>
      <c r="BH40" s="32">
        <f t="shared" si="17"/>
        <v>0</v>
      </c>
      <c r="BI40" s="32">
        <f t="shared" si="49"/>
        <v>1388.9116079101166</v>
      </c>
      <c r="BJ40" s="32">
        <f t="shared" si="55"/>
        <v>483.64154638949526</v>
      </c>
      <c r="BK40" s="32"/>
      <c r="BM40" s="32">
        <v>1349.1465000000001</v>
      </c>
      <c r="BN40" s="32">
        <v>22.152200000000001</v>
      </c>
      <c r="BO40" s="32">
        <v>553.06719999999996</v>
      </c>
      <c r="BP40" s="34">
        <f t="shared" si="18"/>
        <v>4419.2659000000003</v>
      </c>
      <c r="BQ40" s="34">
        <f t="shared" si="51"/>
        <v>3441.5661</v>
      </c>
      <c r="BR40" s="34">
        <f t="shared" si="51"/>
        <v>131.16919999999999</v>
      </c>
      <c r="BS40" s="34">
        <f t="shared" si="52"/>
        <v>659.82569999999998</v>
      </c>
      <c r="BU40" s="34">
        <f t="shared" si="19"/>
        <v>2130.6452005110496</v>
      </c>
      <c r="BV40" s="34">
        <f t="shared" si="20"/>
        <v>34.983953640883975</v>
      </c>
      <c r="BW40" s="35">
        <f t="shared" si="21"/>
        <v>873.43366731491699</v>
      </c>
      <c r="BX40" s="34">
        <f t="shared" si="50"/>
        <v>846.756906320442</v>
      </c>
      <c r="BY40" s="34">
        <f t="shared" si="22"/>
        <v>6979.1439844502765</v>
      </c>
      <c r="CA40" s="34">
        <f t="shared" si="23"/>
        <v>3494.8375729077097</v>
      </c>
      <c r="CB40" s="35">
        <f t="shared" si="24"/>
        <v>57.383198105295584</v>
      </c>
      <c r="CC40" s="34">
        <f t="shared" si="25"/>
        <v>1432.6687508753591</v>
      </c>
      <c r="CD40" s="34">
        <f t="shared" si="26"/>
        <v>1388.9116079101166</v>
      </c>
      <c r="CE40" s="34">
        <f t="shared" si="27"/>
        <v>11447.694162190546</v>
      </c>
      <c r="CG40" s="34">
        <f t="shared" si="57"/>
        <v>8915.054455483858</v>
      </c>
      <c r="CH40" s="34">
        <f t="shared" si="57"/>
        <v>339.7815200708344</v>
      </c>
      <c r="CI40" s="34">
        <f t="shared" si="57"/>
        <v>1709.2166402463561</v>
      </c>
      <c r="CJ40" s="34">
        <f t="shared" si="29"/>
        <v>1388.9116079101166</v>
      </c>
      <c r="CK40" s="34">
        <f t="shared" si="30"/>
        <v>12836.605770100663</v>
      </c>
      <c r="CL40" s="34">
        <f t="shared" si="31"/>
        <v>10964.052615801047</v>
      </c>
      <c r="CM40" s="34">
        <f t="shared" si="32"/>
        <v>3595.9779139782459</v>
      </c>
      <c r="CO40" s="34">
        <f t="shared" si="33"/>
        <v>7248.7979266962484</v>
      </c>
      <c r="CP40" s="34">
        <f t="shared" si="34"/>
        <v>8128.2710713436309</v>
      </c>
      <c r="CQ40" s="34">
        <f t="shared" si="35"/>
        <v>879.4731446473827</v>
      </c>
      <c r="CR40" s="34">
        <f t="shared" si="36"/>
        <v>2277.0102763038099</v>
      </c>
      <c r="CS40" s="34">
        <f t="shared" si="37"/>
        <v>4665.5408386710533</v>
      </c>
    </row>
    <row r="41" spans="1:97" x14ac:dyDescent="0.25">
      <c r="A41" s="14" t="s">
        <v>132</v>
      </c>
      <c r="B41" t="s">
        <v>129</v>
      </c>
      <c r="C41" s="15">
        <v>617082</v>
      </c>
      <c r="D41" s="36">
        <v>146.9</v>
      </c>
      <c r="E41" s="17">
        <f t="shared" si="56"/>
        <v>1.4502762430939287E-2</v>
      </c>
      <c r="F41" s="37">
        <f t="shared" si="53"/>
        <v>1.5566780122532333</v>
      </c>
      <c r="G41" s="18">
        <v>15.39</v>
      </c>
      <c r="H41" s="20">
        <v>51.3</v>
      </c>
      <c r="I41" s="20">
        <v>200.1</v>
      </c>
      <c r="J41" s="20">
        <v>577.79999999999995</v>
      </c>
      <c r="K41" s="20"/>
      <c r="L41" s="20"/>
      <c r="M41" s="20">
        <v>480.4</v>
      </c>
      <c r="N41" s="19">
        <v>23</v>
      </c>
      <c r="O41" s="19"/>
      <c r="P41" s="21">
        <f t="shared" si="0"/>
        <v>1332.6</v>
      </c>
      <c r="Q41" s="20">
        <f t="shared" si="54"/>
        <v>45814.400000000001</v>
      </c>
      <c r="R41" s="20">
        <v>492.9</v>
      </c>
      <c r="S41" s="20"/>
      <c r="T41" s="22">
        <f t="shared" si="38"/>
        <v>1825.5</v>
      </c>
      <c r="U41" s="23">
        <f t="shared" si="1"/>
        <v>0.72999178307313062</v>
      </c>
      <c r="V41" s="24"/>
      <c r="W41" s="20">
        <v>746.78099999999995</v>
      </c>
      <c r="X41" s="24"/>
      <c r="Z41" s="26">
        <v>2057.4938999999999</v>
      </c>
      <c r="AA41" s="29">
        <v>77.199100000000001</v>
      </c>
      <c r="AB41" s="28">
        <f t="shared" si="39"/>
        <v>2134.6929999999998</v>
      </c>
      <c r="AC41" s="29">
        <v>99.477599999999995</v>
      </c>
      <c r="AD41" s="39">
        <v>746.78099999999995</v>
      </c>
      <c r="AE41" s="28">
        <f t="shared" si="2"/>
        <v>2234.1705999999999</v>
      </c>
      <c r="AF41" s="30"/>
      <c r="AG41" s="40">
        <v>27.44</v>
      </c>
      <c r="AH41" s="31">
        <f t="shared" si="40"/>
        <v>-436.11059999999992</v>
      </c>
      <c r="AI41" s="28">
        <f t="shared" si="41"/>
        <v>-408.67059999999992</v>
      </c>
      <c r="AK41" s="32">
        <f t="shared" si="3"/>
        <v>3202.8555144751526</v>
      </c>
      <c r="AL41" s="32">
        <f t="shared" si="4"/>
        <v>120.17414153573858</v>
      </c>
      <c r="AM41" s="32">
        <f t="shared" si="5"/>
        <v>154.85459263172223</v>
      </c>
      <c r="AN41" s="32">
        <f t="shared" si="42"/>
        <v>1162.4975626684818</v>
      </c>
      <c r="AO41" s="32">
        <f t="shared" si="6"/>
        <v>2841.7157113682774</v>
      </c>
      <c r="AP41" s="33">
        <f t="shared" si="7"/>
        <v>0</v>
      </c>
      <c r="AQ41" s="33">
        <f t="shared" si="43"/>
        <v>1162.4975626684818</v>
      </c>
      <c r="AS41" s="33">
        <f t="shared" si="8"/>
        <v>3334.2309449959648</v>
      </c>
      <c r="AT41" s="33">
        <f t="shared" si="9"/>
        <v>125.10347085152378</v>
      </c>
      <c r="AU41" s="33">
        <f t="shared" si="10"/>
        <v>161.20645230293542</v>
      </c>
      <c r="AV41" s="33">
        <f t="shared" si="44"/>
        <v>1210.1811428626988</v>
      </c>
      <c r="AW41" s="33">
        <f t="shared" si="11"/>
        <v>3620.5408681504241</v>
      </c>
      <c r="AX41" s="33">
        <f t="shared" si="12"/>
        <v>2958.2778301749199</v>
      </c>
      <c r="AY41" s="33">
        <f t="shared" si="45"/>
        <v>0</v>
      </c>
      <c r="AZ41" s="33">
        <f t="shared" si="46"/>
        <v>1210.1811428626988</v>
      </c>
      <c r="BA41" s="38"/>
      <c r="BB41" s="32">
        <f t="shared" si="13"/>
        <v>5190.3239998495383</v>
      </c>
      <c r="BC41" s="32">
        <f t="shared" si="14"/>
        <v>194.74582233113034</v>
      </c>
      <c r="BD41" s="32">
        <f t="shared" si="15"/>
        <v>250.94653973332916</v>
      </c>
      <c r="BE41" s="32">
        <f t="shared" si="16"/>
        <v>4605.0860523695028</v>
      </c>
      <c r="BF41" s="32">
        <f t="shared" si="47"/>
        <v>1883.8623759378522</v>
      </c>
      <c r="BG41" s="32">
        <f t="shared" si="48"/>
        <v>7519.87873785185</v>
      </c>
      <c r="BH41" s="32">
        <f t="shared" si="17"/>
        <v>0</v>
      </c>
      <c r="BI41" s="32">
        <f t="shared" si="49"/>
        <v>1883.8623759378522</v>
      </c>
      <c r="BJ41" s="32">
        <f t="shared" si="55"/>
        <v>-1030.930309544495</v>
      </c>
      <c r="BK41" s="32"/>
      <c r="BM41" s="32">
        <v>1458.3851</v>
      </c>
      <c r="BN41" s="32">
        <v>24.829499999999999</v>
      </c>
      <c r="BO41" s="32">
        <v>552.2627</v>
      </c>
      <c r="BP41" s="34">
        <f t="shared" si="18"/>
        <v>3860.9773</v>
      </c>
      <c r="BQ41" s="34">
        <f t="shared" si="51"/>
        <v>3515.8789999999999</v>
      </c>
      <c r="BR41" s="34">
        <f t="shared" si="51"/>
        <v>102.0286</v>
      </c>
      <c r="BS41" s="34">
        <f t="shared" si="52"/>
        <v>651.74029999999993</v>
      </c>
      <c r="BU41" s="34">
        <f t="shared" si="19"/>
        <v>2270.236018567733</v>
      </c>
      <c r="BV41" s="34">
        <f t="shared" si="20"/>
        <v>38.651536705241654</v>
      </c>
      <c r="BW41" s="35">
        <f t="shared" si="21"/>
        <v>859.69520207760377</v>
      </c>
      <c r="BX41" s="34">
        <f t="shared" si="50"/>
        <v>1162.4975626684818</v>
      </c>
      <c r="BY41" s="34">
        <f t="shared" si="22"/>
        <v>6010.2984687188555</v>
      </c>
      <c r="CA41" s="34">
        <f t="shared" si="23"/>
        <v>3678.9859671287331</v>
      </c>
      <c r="CB41" s="35">
        <f t="shared" si="24"/>
        <v>62.635981450182719</v>
      </c>
      <c r="CC41" s="34">
        <f t="shared" si="25"/>
        <v>1393.1620142503002</v>
      </c>
      <c r="CD41" s="34">
        <f t="shared" si="26"/>
        <v>1883.8623759378522</v>
      </c>
      <c r="CE41" s="34">
        <f t="shared" si="27"/>
        <v>9739.8700151987177</v>
      </c>
      <c r="CG41" s="34">
        <f t="shared" si="57"/>
        <v>8869.3099669782714</v>
      </c>
      <c r="CH41" s="34">
        <f t="shared" si="57"/>
        <v>257.38180378131307</v>
      </c>
      <c r="CI41" s="34">
        <f t="shared" si="57"/>
        <v>1644.1085539836295</v>
      </c>
      <c r="CJ41" s="34">
        <f t="shared" si="29"/>
        <v>1883.8623759378522</v>
      </c>
      <c r="CK41" s="34">
        <f t="shared" si="30"/>
        <v>11623.732391136569</v>
      </c>
      <c r="CL41" s="34">
        <f t="shared" si="31"/>
        <v>10770.800324743213</v>
      </c>
      <c r="CM41" s="34">
        <f t="shared" si="32"/>
        <v>3250.9215868913634</v>
      </c>
      <c r="CO41" s="34">
        <f t="shared" si="33"/>
        <v>6256.8302105716903</v>
      </c>
      <c r="CP41" s="34">
        <f t="shared" si="34"/>
        <v>7467.0113534343882</v>
      </c>
      <c r="CQ41" s="34">
        <f t="shared" si="35"/>
        <v>1210.1811428626988</v>
      </c>
      <c r="CR41" s="34">
        <f t="shared" si="36"/>
        <v>2088.3712375340715</v>
      </c>
      <c r="CS41" s="34">
        <f t="shared" si="37"/>
        <v>4830.7220110131229</v>
      </c>
    </row>
    <row r="42" spans="1:97" x14ac:dyDescent="0.25">
      <c r="A42" s="14" t="s">
        <v>133</v>
      </c>
      <c r="B42" t="s">
        <v>129</v>
      </c>
      <c r="C42" s="15">
        <v>622000</v>
      </c>
      <c r="D42" s="36">
        <v>148.4</v>
      </c>
      <c r="E42" s="17">
        <f t="shared" si="56"/>
        <v>1.0211027910143056E-2</v>
      </c>
      <c r="F42" s="37">
        <f t="shared" si="53"/>
        <v>1.540943396226415</v>
      </c>
      <c r="G42" s="18">
        <v>12.99</v>
      </c>
      <c r="H42" s="20">
        <v>48.8</v>
      </c>
      <c r="I42" s="20">
        <v>145.1</v>
      </c>
      <c r="J42" s="20">
        <v>371.1</v>
      </c>
      <c r="K42" s="20"/>
      <c r="L42" s="20"/>
      <c r="M42" s="20">
        <v>322.60000000000002</v>
      </c>
      <c r="N42" s="19">
        <v>25.6</v>
      </c>
      <c r="O42" s="19"/>
      <c r="P42" s="21">
        <f t="shared" si="0"/>
        <v>913.2</v>
      </c>
      <c r="Q42" s="20">
        <f t="shared" si="54"/>
        <v>46727.6</v>
      </c>
      <c r="R42" s="20">
        <v>438.9</v>
      </c>
      <c r="S42" s="20"/>
      <c r="T42" s="22">
        <f t="shared" si="38"/>
        <v>1352.1</v>
      </c>
      <c r="U42" s="23">
        <f t="shared" si="1"/>
        <v>0.67539383181717338</v>
      </c>
      <c r="V42" s="24"/>
      <c r="W42" s="20">
        <v>892.71100000000001</v>
      </c>
      <c r="X42" s="24"/>
      <c r="Z42" s="26">
        <v>2068.6415000000002</v>
      </c>
      <c r="AA42" s="29">
        <v>62.738999999999997</v>
      </c>
      <c r="AB42" s="28">
        <f t="shared" si="39"/>
        <v>2131.3805000000002</v>
      </c>
      <c r="AC42" s="29">
        <v>85.011899999999997</v>
      </c>
      <c r="AD42" s="39">
        <v>892.71100000000001</v>
      </c>
      <c r="AE42" s="28">
        <f t="shared" si="2"/>
        <v>2216.3924000000002</v>
      </c>
      <c r="AF42" s="30"/>
      <c r="AG42" s="40">
        <v>27.329499999999999</v>
      </c>
      <c r="AH42" s="31">
        <f t="shared" si="40"/>
        <v>-891.62190000000032</v>
      </c>
      <c r="AI42" s="28">
        <f t="shared" si="41"/>
        <v>-864.29240000000027</v>
      </c>
      <c r="AK42" s="32">
        <f t="shared" si="3"/>
        <v>3187.6594585849057</v>
      </c>
      <c r="AL42" s="32">
        <f t="shared" si="4"/>
        <v>96.677247735849051</v>
      </c>
      <c r="AM42" s="32">
        <f t="shared" si="5"/>
        <v>130.99852590566036</v>
      </c>
      <c r="AN42" s="32">
        <f t="shared" si="42"/>
        <v>1375.6171201886791</v>
      </c>
      <c r="AO42" s="32">
        <f t="shared" si="6"/>
        <v>2083.5095660377356</v>
      </c>
      <c r="AP42" s="33">
        <f t="shared" si="7"/>
        <v>0</v>
      </c>
      <c r="AQ42" s="33">
        <f t="shared" si="43"/>
        <v>1375.6171201886791</v>
      </c>
      <c r="AS42" s="33">
        <f t="shared" si="8"/>
        <v>3325.7901929260452</v>
      </c>
      <c r="AT42" s="33">
        <f t="shared" si="9"/>
        <v>100.86655948553054</v>
      </c>
      <c r="AU42" s="33">
        <f t="shared" si="10"/>
        <v>136.67508038585208</v>
      </c>
      <c r="AV42" s="33">
        <f t="shared" si="44"/>
        <v>1435.2266881028938</v>
      </c>
      <c r="AW42" s="33">
        <f t="shared" si="11"/>
        <v>3563.331832797428</v>
      </c>
      <c r="AX42" s="33">
        <f t="shared" si="12"/>
        <v>2173.7942122186496</v>
      </c>
      <c r="AY42" s="33">
        <f t="shared" si="45"/>
        <v>0</v>
      </c>
      <c r="AZ42" s="33">
        <f t="shared" si="46"/>
        <v>1435.2266881028938</v>
      </c>
      <c r="BA42" s="38"/>
      <c r="BB42" s="32">
        <f t="shared" si="13"/>
        <v>5124.8544350239645</v>
      </c>
      <c r="BC42" s="32">
        <f t="shared" si="14"/>
        <v>155.42965873930714</v>
      </c>
      <c r="BD42" s="32">
        <f t="shared" si="15"/>
        <v>210.60856254929317</v>
      </c>
      <c r="BE42" s="32">
        <f t="shared" si="16"/>
        <v>3349.6938360735298</v>
      </c>
      <c r="BF42" s="32">
        <f t="shared" si="47"/>
        <v>2211.6030871200628</v>
      </c>
      <c r="BG42" s="32">
        <f t="shared" si="48"/>
        <v>7702.4957434326279</v>
      </c>
      <c r="BH42" s="32">
        <f t="shared" si="17"/>
        <v>0</v>
      </c>
      <c r="BI42" s="32">
        <f t="shared" si="49"/>
        <v>2211.6030871200628</v>
      </c>
      <c r="BJ42" s="32">
        <f t="shared" si="55"/>
        <v>-2141.1988202390357</v>
      </c>
      <c r="BK42" s="32"/>
      <c r="BM42" s="32">
        <v>1559.2157</v>
      </c>
      <c r="BN42" s="32">
        <v>86.036500000000004</v>
      </c>
      <c r="BO42" s="32">
        <v>1014.5441</v>
      </c>
      <c r="BP42" s="34">
        <f t="shared" si="18"/>
        <v>4011.8962999999999</v>
      </c>
      <c r="BQ42" s="34">
        <f t="shared" si="51"/>
        <v>3627.8572000000004</v>
      </c>
      <c r="BR42" s="34">
        <f t="shared" si="51"/>
        <v>148.77549999999999</v>
      </c>
      <c r="BS42" s="34">
        <f t="shared" si="52"/>
        <v>1099.556</v>
      </c>
      <c r="BU42" s="34">
        <f t="shared" si="19"/>
        <v>2402.6631362075468</v>
      </c>
      <c r="BV42" s="34">
        <f t="shared" si="20"/>
        <v>132.57737650943395</v>
      </c>
      <c r="BW42" s="35">
        <f t="shared" si="21"/>
        <v>1563.3550310754715</v>
      </c>
      <c r="BX42" s="34">
        <f t="shared" si="50"/>
        <v>1375.6171201886791</v>
      </c>
      <c r="BY42" s="34">
        <f t="shared" si="22"/>
        <v>6182.1051098301878</v>
      </c>
      <c r="CA42" s="34">
        <f t="shared" si="23"/>
        <v>3862.8024697870528</v>
      </c>
      <c r="CB42" s="35">
        <f t="shared" si="24"/>
        <v>213.14690757143723</v>
      </c>
      <c r="CC42" s="34">
        <f t="shared" si="25"/>
        <v>2513.4325258448093</v>
      </c>
      <c r="CD42" s="34">
        <f t="shared" si="26"/>
        <v>2211.6030871200628</v>
      </c>
      <c r="CE42" s="34">
        <f t="shared" si="27"/>
        <v>9939.0757392768301</v>
      </c>
      <c r="CG42" s="34">
        <f t="shared" si="57"/>
        <v>8987.6569048110177</v>
      </c>
      <c r="CH42" s="34">
        <f t="shared" si="57"/>
        <v>368.5765663107444</v>
      </c>
      <c r="CI42" s="34">
        <f t="shared" si="57"/>
        <v>2724.0410883941026</v>
      </c>
      <c r="CJ42" s="34">
        <f t="shared" si="29"/>
        <v>2211.6030871200628</v>
      </c>
      <c r="CK42" s="34">
        <f t="shared" si="30"/>
        <v>12150.678826396892</v>
      </c>
      <c r="CL42" s="34">
        <f t="shared" si="31"/>
        <v>12080.274559515865</v>
      </c>
      <c r="CM42" s="34">
        <f t="shared" si="32"/>
        <v>4377.778816083237</v>
      </c>
      <c r="CO42" s="34">
        <f t="shared" si="33"/>
        <v>6449.9940514469454</v>
      </c>
      <c r="CP42" s="34">
        <f t="shared" si="34"/>
        <v>7885.220739549839</v>
      </c>
      <c r="CQ42" s="34">
        <f t="shared" si="35"/>
        <v>1435.2266881028938</v>
      </c>
      <c r="CR42" s="34">
        <f t="shared" si="36"/>
        <v>2840.9731511254022</v>
      </c>
      <c r="CS42" s="34">
        <f t="shared" si="37"/>
        <v>4998.558520900322</v>
      </c>
    </row>
    <row r="43" spans="1:97" x14ac:dyDescent="0.25">
      <c r="A43" s="42" t="s">
        <v>134</v>
      </c>
      <c r="B43" t="s">
        <v>129</v>
      </c>
      <c r="C43" s="15">
        <v>628346</v>
      </c>
      <c r="D43" s="36">
        <v>150.9</v>
      </c>
      <c r="E43" s="17">
        <f t="shared" si="56"/>
        <v>1.6846361185983927E-2</v>
      </c>
      <c r="F43" s="37">
        <f t="shared" si="53"/>
        <v>1.5154141815772033</v>
      </c>
      <c r="G43" s="18">
        <v>24.42</v>
      </c>
      <c r="H43" s="20">
        <v>45</v>
      </c>
      <c r="I43" s="20">
        <v>162.69999999999999</v>
      </c>
      <c r="J43" s="20">
        <v>702.7</v>
      </c>
      <c r="K43" s="20"/>
      <c r="L43" s="20"/>
      <c r="M43" s="20">
        <v>731.9</v>
      </c>
      <c r="N43" s="19">
        <v>4</v>
      </c>
      <c r="O43" s="19"/>
      <c r="P43" s="21">
        <f>SUM(H43:O43)</f>
        <v>1646.3000000000002</v>
      </c>
      <c r="Q43" s="20">
        <f t="shared" si="54"/>
        <v>48373.9</v>
      </c>
      <c r="R43" s="20">
        <v>501.3</v>
      </c>
      <c r="S43" s="20"/>
      <c r="T43" s="22">
        <f t="shared" si="38"/>
        <v>2147.6000000000004</v>
      </c>
      <c r="U43" s="23">
        <f t="shared" si="1"/>
        <v>0.76657664369528766</v>
      </c>
      <c r="V43" s="24"/>
      <c r="W43" s="35">
        <v>1044.8810000000001</v>
      </c>
      <c r="X43" s="24"/>
      <c r="Z43" s="26">
        <v>2060.7035000000001</v>
      </c>
      <c r="AA43" s="29">
        <v>22.491499999999998</v>
      </c>
      <c r="AB43" s="28">
        <f t="shared" si="39"/>
        <v>2083.1950000000002</v>
      </c>
      <c r="AC43" s="29">
        <v>104.202</v>
      </c>
      <c r="AD43" s="43">
        <v>1044.8810000000001</v>
      </c>
      <c r="AE43" s="28">
        <f t="shared" si="2"/>
        <v>2187.3969999999999</v>
      </c>
      <c r="AF43" s="30"/>
      <c r="AG43" s="40">
        <v>36.592500000000001</v>
      </c>
      <c r="AH43" s="31">
        <f t="shared" si="40"/>
        <v>-76.389499999999572</v>
      </c>
      <c r="AI43" s="28">
        <f t="shared" si="41"/>
        <v>-39.796999999999571</v>
      </c>
      <c r="AK43" s="32">
        <f t="shared" si="3"/>
        <v>3122.8193079257785</v>
      </c>
      <c r="AL43" s="32">
        <f t="shared" si="4"/>
        <v>34.083938064943666</v>
      </c>
      <c r="AM43" s="32">
        <f t="shared" si="5"/>
        <v>157.90918854870773</v>
      </c>
      <c r="AN43" s="32">
        <f t="shared" si="42"/>
        <v>1583.4274854605699</v>
      </c>
      <c r="AO43" s="32">
        <f t="shared" si="6"/>
        <v>3254.5034963552025</v>
      </c>
      <c r="AP43" s="33">
        <f t="shared" si="7"/>
        <v>0</v>
      </c>
      <c r="AQ43" s="33">
        <f t="shared" si="43"/>
        <v>1583.4274854605699</v>
      </c>
      <c r="AS43" s="33">
        <f t="shared" si="8"/>
        <v>3279.5681041973694</v>
      </c>
      <c r="AT43" s="33">
        <f t="shared" si="9"/>
        <v>35.794769124017662</v>
      </c>
      <c r="AU43" s="33">
        <f t="shared" si="10"/>
        <v>165.83538368987789</v>
      </c>
      <c r="AV43" s="33">
        <f t="shared" si="44"/>
        <v>1662.9070607595179</v>
      </c>
      <c r="AW43" s="33">
        <f t="shared" si="11"/>
        <v>3481.198257011265</v>
      </c>
      <c r="AX43" s="33">
        <f t="shared" si="12"/>
        <v>3417.8621332832554</v>
      </c>
      <c r="AY43" s="33">
        <f t="shared" si="45"/>
        <v>0</v>
      </c>
      <c r="AZ43" s="33">
        <f t="shared" si="46"/>
        <v>1662.9070607595181</v>
      </c>
      <c r="BA43" s="38"/>
      <c r="BB43" s="32">
        <f t="shared" si="13"/>
        <v>4969.9040145489562</v>
      </c>
      <c r="BC43" s="32">
        <f t="shared" si="14"/>
        <v>54.243900756818171</v>
      </c>
      <c r="BD43" s="32">
        <f t="shared" si="15"/>
        <v>251.30929225093777</v>
      </c>
      <c r="BE43" s="32">
        <f t="shared" si="16"/>
        <v>5179.4767474531591</v>
      </c>
      <c r="BF43" s="32">
        <f t="shared" si="47"/>
        <v>2519.9929425198379</v>
      </c>
      <c r="BG43" s="32">
        <f t="shared" si="48"/>
        <v>7795.45015007655</v>
      </c>
      <c r="BH43" s="32">
        <f t="shared" si="17"/>
        <v>0</v>
      </c>
      <c r="BI43" s="32">
        <f t="shared" si="49"/>
        <v>2519.9929425198379</v>
      </c>
      <c r="BJ43" s="32">
        <f t="shared" si="55"/>
        <v>-95.980460103553014</v>
      </c>
      <c r="BK43" s="32"/>
      <c r="BM43" s="34">
        <v>1638.3805</v>
      </c>
      <c r="BN43" s="34">
        <v>104.7422</v>
      </c>
      <c r="BO43" s="35">
        <v>1046.694064</v>
      </c>
      <c r="BP43" s="34">
        <f t="shared" si="18"/>
        <v>4937.4167640000005</v>
      </c>
      <c r="BQ43" s="34">
        <f t="shared" si="51"/>
        <v>3699.0839999999998</v>
      </c>
      <c r="BR43" s="34">
        <f t="shared" si="51"/>
        <v>127.2337</v>
      </c>
      <c r="BS43" s="34">
        <f t="shared" si="52"/>
        <v>1150.896064</v>
      </c>
      <c r="BU43" s="34">
        <f t="shared" si="19"/>
        <v>2482.825044519549</v>
      </c>
      <c r="BV43" s="34">
        <f t="shared" si="20"/>
        <v>158.72781528959575</v>
      </c>
      <c r="BW43" s="35">
        <f t="shared" si="21"/>
        <v>1586.1750283582769</v>
      </c>
      <c r="BX43" s="34">
        <f t="shared" si="50"/>
        <v>1583.4274854605699</v>
      </c>
      <c r="BY43" s="34">
        <f t="shared" si="22"/>
        <v>7482.2313845226245</v>
      </c>
      <c r="BZ43" s="44"/>
      <c r="CA43" s="34">
        <f t="shared" si="23"/>
        <v>3951.3660380101874</v>
      </c>
      <c r="CB43" s="35">
        <f t="shared" si="24"/>
        <v>252.61212021656183</v>
      </c>
      <c r="CC43" s="34">
        <f t="shared" si="25"/>
        <v>2524.3656016880459</v>
      </c>
      <c r="CD43" s="34">
        <f t="shared" si="26"/>
        <v>2519.9929425198379</v>
      </c>
      <c r="CE43" s="34">
        <f t="shared" si="27"/>
        <v>11907.820507367955</v>
      </c>
      <c r="CG43" s="34">
        <f t="shared" si="57"/>
        <v>8921.2700525591426</v>
      </c>
      <c r="CH43" s="34">
        <f t="shared" si="57"/>
        <v>306.85602097338</v>
      </c>
      <c r="CI43" s="34">
        <f t="shared" si="57"/>
        <v>2775.6748939389836</v>
      </c>
      <c r="CJ43" s="34">
        <f t="shared" si="29"/>
        <v>2519.9929425198379</v>
      </c>
      <c r="CK43" s="34">
        <f t="shared" si="30"/>
        <v>14427.813449887792</v>
      </c>
      <c r="CL43" s="34">
        <f>+CG43+CH43+CI43</f>
        <v>12003.800967471507</v>
      </c>
      <c r="CM43" s="34">
        <f t="shared" si="32"/>
        <v>4208.3508173949567</v>
      </c>
      <c r="CO43" s="34">
        <f t="shared" si="33"/>
        <v>7857.7993080245606</v>
      </c>
      <c r="CP43" s="34">
        <f t="shared" si="34"/>
        <v>9520.7063687840782</v>
      </c>
      <c r="CQ43" s="34">
        <f t="shared" si="35"/>
        <v>1662.9070607595181</v>
      </c>
      <c r="CR43" s="34">
        <f t="shared" si="36"/>
        <v>2777.0301139817866</v>
      </c>
      <c r="CS43" s="34">
        <f t="shared" si="37"/>
        <v>5144.1053177707827</v>
      </c>
    </row>
    <row r="44" spans="1:97" x14ac:dyDescent="0.25">
      <c r="A44" s="42" t="s">
        <v>135</v>
      </c>
      <c r="B44" t="s">
        <v>129</v>
      </c>
      <c r="C44" s="15">
        <v>632716</v>
      </c>
      <c r="D44" s="36">
        <v>155.19999999999999</v>
      </c>
      <c r="E44" s="17">
        <f t="shared" si="56"/>
        <v>2.8495692511596893E-2</v>
      </c>
      <c r="F44" s="37">
        <f t="shared" si="53"/>
        <v>1.4734278350515464</v>
      </c>
      <c r="G44" s="18">
        <v>27.54</v>
      </c>
      <c r="H44" s="20">
        <v>45.1</v>
      </c>
      <c r="I44" s="20">
        <v>338.1</v>
      </c>
      <c r="J44" s="20">
        <v>703.8</v>
      </c>
      <c r="K44" s="20"/>
      <c r="L44" s="20"/>
      <c r="M44" s="20">
        <v>781</v>
      </c>
      <c r="N44" s="19">
        <v>7.1</v>
      </c>
      <c r="O44" s="19"/>
      <c r="P44" s="21">
        <f t="shared" si="0"/>
        <v>1875.1</v>
      </c>
      <c r="Q44" s="20">
        <f t="shared" si="54"/>
        <v>50249</v>
      </c>
      <c r="R44" s="20">
        <v>406.9</v>
      </c>
      <c r="S44" s="20"/>
      <c r="T44" s="22">
        <f t="shared" si="38"/>
        <v>2282</v>
      </c>
      <c r="U44" s="23">
        <f t="shared" si="1"/>
        <v>0.82169149868536373</v>
      </c>
      <c r="V44" s="24"/>
      <c r="W44" s="35">
        <v>1172.451</v>
      </c>
      <c r="X44" s="24"/>
      <c r="Z44" s="26">
        <v>2115.2222999999999</v>
      </c>
      <c r="AA44" s="29">
        <v>34.401499999999999</v>
      </c>
      <c r="AB44" s="28">
        <f t="shared" si="39"/>
        <v>2149.6237999999998</v>
      </c>
      <c r="AC44" s="29">
        <v>162.0444</v>
      </c>
      <c r="AD44" s="43">
        <v>1172.451</v>
      </c>
      <c r="AE44" s="28">
        <f t="shared" si="2"/>
        <v>2311.6682000000001</v>
      </c>
      <c r="AF44" s="30"/>
      <c r="AG44" s="40">
        <v>128.09100000000001</v>
      </c>
      <c r="AH44" s="31">
        <f t="shared" si="40"/>
        <v>-157.75920000000008</v>
      </c>
      <c r="AI44" s="28">
        <f t="shared" si="41"/>
        <v>-29.66820000000007</v>
      </c>
      <c r="AK44" s="32">
        <f t="shared" si="3"/>
        <v>3116.6274141417525</v>
      </c>
      <c r="AL44" s="32">
        <f t="shared" si="4"/>
        <v>50.688127667525769</v>
      </c>
      <c r="AM44" s="32">
        <f t="shared" si="5"/>
        <v>238.76072947422679</v>
      </c>
      <c r="AN44" s="32">
        <f t="shared" si="42"/>
        <v>1727.5219386340207</v>
      </c>
      <c r="AO44" s="32">
        <f t="shared" si="6"/>
        <v>3362.3623195876289</v>
      </c>
      <c r="AP44" s="33">
        <f t="shared" si="7"/>
        <v>0</v>
      </c>
      <c r="AQ44" s="33">
        <f t="shared" si="43"/>
        <v>1727.5219386340207</v>
      </c>
      <c r="AS44" s="33">
        <f t="shared" si="8"/>
        <v>3343.0833106796731</v>
      </c>
      <c r="AT44" s="33">
        <f t="shared" si="9"/>
        <v>54.371155463114576</v>
      </c>
      <c r="AU44" s="33">
        <f t="shared" si="10"/>
        <v>256.10921803779263</v>
      </c>
      <c r="AV44" s="33">
        <f t="shared" si="44"/>
        <v>1853.0446519449483</v>
      </c>
      <c r="AW44" s="33">
        <f t="shared" si="11"/>
        <v>3653.5636841805804</v>
      </c>
      <c r="AX44" s="33">
        <f t="shared" si="12"/>
        <v>3606.6734522281722</v>
      </c>
      <c r="AY44" s="33">
        <f t="shared" si="45"/>
        <v>0</v>
      </c>
      <c r="AZ44" s="33">
        <f t="shared" si="46"/>
        <v>1853.0446519449486</v>
      </c>
      <c r="BA44" s="38"/>
      <c r="BB44" s="32">
        <f t="shared" si="13"/>
        <v>4925.7920048517071</v>
      </c>
      <c r="BC44" s="32">
        <f t="shared" si="14"/>
        <v>80.111973883267964</v>
      </c>
      <c r="BD44" s="32">
        <f t="shared" si="15"/>
        <v>377.35845067016925</v>
      </c>
      <c r="BE44" s="32">
        <f t="shared" si="16"/>
        <v>5314.1730564544432</v>
      </c>
      <c r="BF44" s="32">
        <f t="shared" si="47"/>
        <v>2730.327569769092</v>
      </c>
      <c r="BG44" s="32">
        <f t="shared" si="48"/>
        <v>8113.5899991742353</v>
      </c>
      <c r="BH44" s="32">
        <f t="shared" si="17"/>
        <v>0</v>
      </c>
      <c r="BI44" s="32">
        <f t="shared" si="49"/>
        <v>2730.327569769092</v>
      </c>
      <c r="BJ44" s="32">
        <f t="shared" si="55"/>
        <v>-69.089372950700181</v>
      </c>
      <c r="BK44" s="32"/>
      <c r="BM44" s="34">
        <v>1829.1841999999999</v>
      </c>
      <c r="BN44" s="34">
        <v>62.098300000000002</v>
      </c>
      <c r="BO44" s="35">
        <v>1100.117937</v>
      </c>
      <c r="BP44" s="34">
        <f t="shared" si="18"/>
        <v>5273.4004370000002</v>
      </c>
      <c r="BQ44" s="34">
        <f t="shared" si="51"/>
        <v>3944.4065000000001</v>
      </c>
      <c r="BR44" s="34">
        <f t="shared" si="51"/>
        <v>96.499799999999993</v>
      </c>
      <c r="BS44" s="34">
        <f t="shared" si="52"/>
        <v>1262.162337</v>
      </c>
      <c r="BU44" s="34">
        <f t="shared" si="19"/>
        <v>2695.1709157164946</v>
      </c>
      <c r="BV44" s="34">
        <f t="shared" si="20"/>
        <v>91.497363729381448</v>
      </c>
      <c r="BW44" s="35">
        <f t="shared" si="21"/>
        <v>1620.9443902152834</v>
      </c>
      <c r="BX44" s="34">
        <f t="shared" si="50"/>
        <v>1727.5219386340207</v>
      </c>
      <c r="BY44" s="34">
        <f t="shared" si="22"/>
        <v>7769.9749892487889</v>
      </c>
      <c r="BZ44" s="44"/>
      <c r="CA44" s="34">
        <f t="shared" si="23"/>
        <v>4259.6850968151502</v>
      </c>
      <c r="CB44" s="35">
        <f t="shared" si="24"/>
        <v>144.61047883945002</v>
      </c>
      <c r="CC44" s="34">
        <f t="shared" si="25"/>
        <v>2561.8830410725877</v>
      </c>
      <c r="CD44" s="34">
        <f t="shared" si="26"/>
        <v>2730.327569769092</v>
      </c>
      <c r="CE44" s="34">
        <f t="shared" si="27"/>
        <v>12280.351673181633</v>
      </c>
      <c r="CG44" s="34">
        <f t="shared" si="57"/>
        <v>9185.4771016668565</v>
      </c>
      <c r="CH44" s="34">
        <f t="shared" si="57"/>
        <v>224.722452722718</v>
      </c>
      <c r="CI44" s="34">
        <f t="shared" si="57"/>
        <v>2939.2414917427568</v>
      </c>
      <c r="CJ44" s="34">
        <f t="shared" si="29"/>
        <v>2730.327569769092</v>
      </c>
      <c r="CK44" s="34">
        <f t="shared" si="30"/>
        <v>15010.679242950724</v>
      </c>
      <c r="CL44" s="34">
        <f t="shared" ref="CL44:CL61" si="58">+CG44+CH44+CI44</f>
        <v>12349.441046132331</v>
      </c>
      <c r="CM44" s="34">
        <f t="shared" si="32"/>
        <v>4235.851046958096</v>
      </c>
      <c r="CO44" s="34">
        <f t="shared" si="33"/>
        <v>8334.545731418204</v>
      </c>
      <c r="CP44" s="34">
        <f t="shared" si="34"/>
        <v>10187.590383363153</v>
      </c>
      <c r="CQ44" s="34">
        <f t="shared" si="35"/>
        <v>1853.0446519449486</v>
      </c>
      <c r="CR44" s="34">
        <f t="shared" si="36"/>
        <v>2874.8276272450826</v>
      </c>
      <c r="CS44" s="34">
        <f t="shared" si="37"/>
        <v>5506.6083361255287</v>
      </c>
    </row>
    <row r="45" spans="1:97" x14ac:dyDescent="0.25">
      <c r="A45" s="42" t="s">
        <v>136</v>
      </c>
      <c r="B45" t="s">
        <v>129</v>
      </c>
      <c r="C45" s="15">
        <v>641729</v>
      </c>
      <c r="D45" s="36">
        <v>158.19999999999999</v>
      </c>
      <c r="E45" s="17">
        <f t="shared" si="56"/>
        <v>1.9329896907216426E-2</v>
      </c>
      <c r="F45" s="37">
        <f t="shared" si="53"/>
        <v>1.4454867256637169</v>
      </c>
      <c r="G45" s="18">
        <v>21.65</v>
      </c>
      <c r="H45" s="20">
        <v>49.6</v>
      </c>
      <c r="I45" s="20">
        <v>178.4</v>
      </c>
      <c r="J45" s="20">
        <v>496.3</v>
      </c>
      <c r="K45" s="20"/>
      <c r="L45" s="20"/>
      <c r="M45" s="20">
        <v>581.20000000000005</v>
      </c>
      <c r="N45" s="19">
        <v>14.6</v>
      </c>
      <c r="O45" s="19"/>
      <c r="P45" s="21">
        <f t="shared" si="0"/>
        <v>1320.1</v>
      </c>
      <c r="Q45" s="20">
        <f t="shared" si="54"/>
        <v>51569.1</v>
      </c>
      <c r="R45" s="20">
        <v>347.9</v>
      </c>
      <c r="S45" s="20"/>
      <c r="T45" s="22">
        <f t="shared" si="38"/>
        <v>1668</v>
      </c>
      <c r="U45" s="23">
        <f t="shared" si="1"/>
        <v>0.79142685851318939</v>
      </c>
      <c r="V45" s="24"/>
      <c r="W45" s="35">
        <v>1112.6010000000001</v>
      </c>
      <c r="X45" s="24"/>
      <c r="Z45" s="26">
        <v>2256.5796999999998</v>
      </c>
      <c r="AA45" s="29">
        <v>62.134999999999998</v>
      </c>
      <c r="AB45" s="28">
        <f t="shared" si="39"/>
        <v>2318.7147</v>
      </c>
      <c r="AC45" s="29">
        <v>208.26130000000001</v>
      </c>
      <c r="AD45" s="43">
        <v>1112.6010000000001</v>
      </c>
      <c r="AE45" s="28">
        <f t="shared" si="2"/>
        <v>2526.9760000000001</v>
      </c>
      <c r="AF45" s="30"/>
      <c r="AG45" s="40">
        <v>58.250900000000001</v>
      </c>
      <c r="AH45" s="31">
        <f t="shared" si="40"/>
        <v>-917.22690000000011</v>
      </c>
      <c r="AI45" s="28">
        <f t="shared" si="41"/>
        <v>-858.97600000000011</v>
      </c>
      <c r="AK45" s="32">
        <f t="shared" si="3"/>
        <v>3261.8560017522123</v>
      </c>
      <c r="AL45" s="32">
        <f t="shared" si="4"/>
        <v>89.815317699115056</v>
      </c>
      <c r="AM45" s="32">
        <f t="shared" si="5"/>
        <v>301.03894461946908</v>
      </c>
      <c r="AN45" s="32">
        <f t="shared" si="42"/>
        <v>1608.2499764601773</v>
      </c>
      <c r="AO45" s="32">
        <f t="shared" si="6"/>
        <v>2411.0718584070801</v>
      </c>
      <c r="AP45" s="33">
        <f t="shared" si="7"/>
        <v>0</v>
      </c>
      <c r="AQ45" s="33">
        <f t="shared" si="43"/>
        <v>1608.2499764601773</v>
      </c>
      <c r="AS45" s="33">
        <f t="shared" si="8"/>
        <v>3516.4059906907742</v>
      </c>
      <c r="AT45" s="33">
        <f t="shared" si="9"/>
        <v>96.82436043875218</v>
      </c>
      <c r="AU45" s="33">
        <f t="shared" si="10"/>
        <v>324.53153901413214</v>
      </c>
      <c r="AV45" s="33">
        <f t="shared" si="44"/>
        <v>1733.7552144285205</v>
      </c>
      <c r="AW45" s="33">
        <f t="shared" si="11"/>
        <v>3937.7618901436585</v>
      </c>
      <c r="AX45" s="33">
        <f t="shared" si="12"/>
        <v>2599.2280230439951</v>
      </c>
      <c r="AY45" s="33">
        <f t="shared" si="45"/>
        <v>0</v>
      </c>
      <c r="AZ45" s="33">
        <f t="shared" si="46"/>
        <v>1733.7552144285207</v>
      </c>
      <c r="BA45" s="38"/>
      <c r="BB45" s="32">
        <f t="shared" si="13"/>
        <v>5082.9181815878856</v>
      </c>
      <c r="BC45" s="32">
        <f t="shared" si="14"/>
        <v>139.95832773509542</v>
      </c>
      <c r="BD45" s="32">
        <f t="shared" si="15"/>
        <v>469.1060317041447</v>
      </c>
      <c r="BE45" s="32">
        <f t="shared" si="16"/>
        <v>3757.1496042832414</v>
      </c>
      <c r="BF45" s="32">
        <f t="shared" si="47"/>
        <v>2506.1201480066779</v>
      </c>
      <c r="BG45" s="32">
        <f t="shared" si="48"/>
        <v>8198.1026890338035</v>
      </c>
      <c r="BH45" s="32">
        <f t="shared" si="17"/>
        <v>0</v>
      </c>
      <c r="BI45" s="32">
        <f t="shared" si="49"/>
        <v>2506.1201480066779</v>
      </c>
      <c r="BJ45" s="32">
        <f t="shared" si="55"/>
        <v>-1934.8329367438841</v>
      </c>
      <c r="BK45" s="32"/>
      <c r="BM45" s="34">
        <v>2060.2894000000001</v>
      </c>
      <c r="BN45" s="34">
        <v>71.425399999999996</v>
      </c>
      <c r="BO45" s="35">
        <v>1272.0010109999998</v>
      </c>
      <c r="BP45" s="34">
        <f t="shared" si="18"/>
        <v>5071.715811</v>
      </c>
      <c r="BQ45" s="34">
        <f t="shared" si="51"/>
        <v>4316.8690999999999</v>
      </c>
      <c r="BR45" s="34">
        <f t="shared" si="51"/>
        <v>133.56039999999999</v>
      </c>
      <c r="BS45" s="34">
        <f t="shared" si="52"/>
        <v>1480.262311</v>
      </c>
      <c r="BU45" s="34">
        <f t="shared" si="19"/>
        <v>2978.1209787256644</v>
      </c>
      <c r="BV45" s="34">
        <f t="shared" si="20"/>
        <v>103.24446757522124</v>
      </c>
      <c r="BW45" s="35">
        <f t="shared" si="21"/>
        <v>1838.6605764313274</v>
      </c>
      <c r="BX45" s="34">
        <f t="shared" si="50"/>
        <v>1608.2499764601773</v>
      </c>
      <c r="BY45" s="34">
        <f t="shared" si="22"/>
        <v>7331.0978811392924</v>
      </c>
      <c r="BZ45" s="44"/>
      <c r="CA45" s="34">
        <f t="shared" si="23"/>
        <v>4640.7766810065687</v>
      </c>
      <c r="CB45" s="35">
        <f t="shared" si="24"/>
        <v>160.88484013535501</v>
      </c>
      <c r="CC45" s="34">
        <f t="shared" si="25"/>
        <v>2865.1667236969615</v>
      </c>
      <c r="CD45" s="34">
        <f t="shared" si="26"/>
        <v>2506.1201480066779</v>
      </c>
      <c r="CE45" s="34">
        <f t="shared" si="27"/>
        <v>11423.977849122126</v>
      </c>
      <c r="CG45" s="34">
        <f t="shared" si="57"/>
        <v>9723.6948625944533</v>
      </c>
      <c r="CH45" s="34">
        <f t="shared" si="57"/>
        <v>300.84316787045043</v>
      </c>
      <c r="CI45" s="34">
        <f t="shared" si="57"/>
        <v>3334.2727554011062</v>
      </c>
      <c r="CJ45" s="34">
        <f t="shared" si="29"/>
        <v>2506.1201480066779</v>
      </c>
      <c r="CK45" s="34">
        <f t="shared" si="30"/>
        <v>13930.097997128803</v>
      </c>
      <c r="CL45" s="34">
        <f t="shared" si="58"/>
        <v>13358.810785866011</v>
      </c>
      <c r="CM45" s="34">
        <f t="shared" si="32"/>
        <v>5160.708096832208</v>
      </c>
      <c r="CO45" s="34">
        <f t="shared" si="33"/>
        <v>7903.2049525578559</v>
      </c>
      <c r="CP45" s="34">
        <f t="shared" si="34"/>
        <v>9636.960166986375</v>
      </c>
      <c r="CQ45" s="34">
        <f t="shared" si="35"/>
        <v>1733.7552144285207</v>
      </c>
      <c r="CR45" s="34">
        <f t="shared" si="36"/>
        <v>3570.2217150853403</v>
      </c>
      <c r="CS45" s="34">
        <f t="shared" si="37"/>
        <v>5671.5171045721791</v>
      </c>
    </row>
    <row r="46" spans="1:97" x14ac:dyDescent="0.25">
      <c r="A46" s="42" t="s">
        <v>137</v>
      </c>
      <c r="B46" t="s">
        <v>138</v>
      </c>
      <c r="C46" s="15">
        <v>649466</v>
      </c>
      <c r="D46" s="36">
        <v>162.5</v>
      </c>
      <c r="E46" s="17">
        <f t="shared" si="56"/>
        <v>2.7180783817952081E-2</v>
      </c>
      <c r="F46" s="37">
        <f t="shared" si="53"/>
        <v>1.4072369230769231</v>
      </c>
      <c r="G46" s="18">
        <v>28.59</v>
      </c>
      <c r="H46" s="20">
        <v>48.7</v>
      </c>
      <c r="I46" s="20">
        <v>151.1</v>
      </c>
      <c r="J46" s="20">
        <v>599</v>
      </c>
      <c r="K46" s="20"/>
      <c r="L46" s="20"/>
      <c r="M46" s="20">
        <v>830.7</v>
      </c>
      <c r="N46" s="19">
        <v>9.6</v>
      </c>
      <c r="O46" s="19"/>
      <c r="P46" s="21">
        <f t="shared" si="0"/>
        <v>1639.1</v>
      </c>
      <c r="Q46" s="20">
        <f t="shared" si="54"/>
        <v>53208.2</v>
      </c>
      <c r="R46" s="20">
        <v>307.8</v>
      </c>
      <c r="S46" s="20"/>
      <c r="T46" s="22">
        <f t="shared" si="38"/>
        <v>1946.8999999999999</v>
      </c>
      <c r="U46" s="23">
        <f t="shared" si="1"/>
        <v>0.84190251168524322</v>
      </c>
      <c r="V46" s="24"/>
      <c r="W46" s="35">
        <v>925.80600000000004</v>
      </c>
      <c r="X46" s="24"/>
      <c r="Z46" s="26">
        <v>2337.7139000000002</v>
      </c>
      <c r="AA46" s="29">
        <v>56.989600000000003</v>
      </c>
      <c r="AB46" s="28">
        <f t="shared" si="39"/>
        <v>2394.7035000000001</v>
      </c>
      <c r="AC46" s="29">
        <v>215.1046</v>
      </c>
      <c r="AD46" s="43">
        <v>925.80600000000004</v>
      </c>
      <c r="AE46" s="28">
        <f t="shared" si="2"/>
        <v>2609.8081000000002</v>
      </c>
      <c r="AF46" s="30"/>
      <c r="AG46" s="40">
        <v>40.041600000000003</v>
      </c>
      <c r="AH46" s="31">
        <f t="shared" si="40"/>
        <v>-702.94970000000035</v>
      </c>
      <c r="AI46" s="28">
        <f t="shared" si="41"/>
        <v>-662.90810000000033</v>
      </c>
      <c r="AJ46" s="45"/>
      <c r="AK46" s="32">
        <f t="shared" si="3"/>
        <v>3289.7173156701542</v>
      </c>
      <c r="AL46" s="32">
        <f t="shared" si="4"/>
        <v>80.197869351384611</v>
      </c>
      <c r="AM46" s="32">
        <f t="shared" si="5"/>
        <v>302.7031354436923</v>
      </c>
      <c r="AN46" s="32">
        <f t="shared" si="42"/>
        <v>1302.828386806154</v>
      </c>
      <c r="AO46" s="32">
        <f t="shared" si="6"/>
        <v>2739.7495655384614</v>
      </c>
      <c r="AP46" s="33">
        <f t="shared" si="7"/>
        <v>0</v>
      </c>
      <c r="AQ46" s="33">
        <f t="shared" si="43"/>
        <v>1302.828386806154</v>
      </c>
      <c r="AS46" s="33">
        <f t="shared" si="8"/>
        <v>3599.4400014781377</v>
      </c>
      <c r="AT46" s="33">
        <f t="shared" si="9"/>
        <v>87.74839637486798</v>
      </c>
      <c r="AU46" s="33">
        <f t="shared" si="10"/>
        <v>331.20224923244638</v>
      </c>
      <c r="AV46" s="33">
        <f t="shared" si="44"/>
        <v>1425.488016308783</v>
      </c>
      <c r="AW46" s="33">
        <f t="shared" si="11"/>
        <v>4018.3906470854522</v>
      </c>
      <c r="AX46" s="33">
        <f t="shared" si="12"/>
        <v>2997.6934897284846</v>
      </c>
      <c r="AY46" s="33">
        <f t="shared" si="45"/>
        <v>0</v>
      </c>
      <c r="AZ46" s="33">
        <f t="shared" si="46"/>
        <v>1425.488016308783</v>
      </c>
      <c r="BA46" s="38"/>
      <c r="BB46" s="32">
        <f t="shared" si="13"/>
        <v>5065.2648724800902</v>
      </c>
      <c r="BC46" s="32">
        <f t="shared" si="14"/>
        <v>123.48278331950343</v>
      </c>
      <c r="BD46" s="32">
        <f t="shared" si="15"/>
        <v>466.08003412602403</v>
      </c>
      <c r="BE46" s="32">
        <f t="shared" si="16"/>
        <v>4218.4649628132365</v>
      </c>
      <c r="BF46" s="32">
        <f t="shared" si="47"/>
        <v>2005.9993699533986</v>
      </c>
      <c r="BG46" s="32">
        <f t="shared" si="48"/>
        <v>7660.8270598790159</v>
      </c>
      <c r="BH46" s="32">
        <f t="shared" si="17"/>
        <v>0</v>
      </c>
      <c r="BI46" s="32">
        <f t="shared" si="49"/>
        <v>2005.9993699533986</v>
      </c>
      <c r="BJ46" s="32">
        <f t="shared" si="55"/>
        <v>-1436.3627271123808</v>
      </c>
      <c r="BK46" s="32"/>
      <c r="BM46" s="34">
        <v>2203.0526</v>
      </c>
      <c r="BN46" s="34">
        <v>105.64760000000001</v>
      </c>
      <c r="BO46" s="35">
        <v>1267.0253720000001</v>
      </c>
      <c r="BP46" s="34">
        <f t="shared" si="18"/>
        <v>5522.6255719999999</v>
      </c>
      <c r="BQ46" s="34">
        <f t="shared" si="51"/>
        <v>4540.7664999999997</v>
      </c>
      <c r="BR46" s="34">
        <f t="shared" si="51"/>
        <v>162.63720000000001</v>
      </c>
      <c r="BS46" s="34">
        <f t="shared" si="52"/>
        <v>1482.1299720000002</v>
      </c>
      <c r="BU46" s="34">
        <f t="shared" si="19"/>
        <v>3100.2169622006154</v>
      </c>
      <c r="BV46" s="34">
        <f t="shared" si="20"/>
        <v>148.67120355446156</v>
      </c>
      <c r="BW46" s="35">
        <f t="shared" si="21"/>
        <v>1783.0048859536739</v>
      </c>
      <c r="BX46" s="34">
        <f t="shared" si="50"/>
        <v>1302.828386806154</v>
      </c>
      <c r="BY46" s="34">
        <f t="shared" si="22"/>
        <v>7771.642617247212</v>
      </c>
      <c r="BZ46" s="44"/>
      <c r="CA46" s="34">
        <f t="shared" si="23"/>
        <v>4773.4861597075378</v>
      </c>
      <c r="CB46" s="35">
        <f t="shared" si="24"/>
        <v>228.91298937043905</v>
      </c>
      <c r="CC46" s="34">
        <f t="shared" si="25"/>
        <v>2745.3398421990896</v>
      </c>
      <c r="CD46" s="34">
        <f t="shared" si="26"/>
        <v>2005.9993699533986</v>
      </c>
      <c r="CE46" s="34">
        <f t="shared" si="27"/>
        <v>11966.203954090302</v>
      </c>
      <c r="CG46" s="34">
        <f t="shared" si="57"/>
        <v>9838.7510321876289</v>
      </c>
      <c r="CH46" s="34">
        <f t="shared" si="57"/>
        <v>352.39577268994248</v>
      </c>
      <c r="CI46" s="34">
        <f t="shared" si="57"/>
        <v>3211.4198763251138</v>
      </c>
      <c r="CJ46" s="34">
        <f t="shared" si="29"/>
        <v>2005.9993699533986</v>
      </c>
      <c r="CK46" s="34">
        <f t="shared" si="30"/>
        <v>13972.203324043701</v>
      </c>
      <c r="CL46" s="34">
        <f t="shared" si="58"/>
        <v>13402.566681202685</v>
      </c>
      <c r="CM46" s="34">
        <f t="shared" si="32"/>
        <v>5741.7396213236689</v>
      </c>
      <c r="CO46" s="34">
        <f t="shared" si="33"/>
        <v>8503.3328488327334</v>
      </c>
      <c r="CP46" s="34">
        <f t="shared" si="34"/>
        <v>9928.8208651415171</v>
      </c>
      <c r="CQ46" s="34">
        <f t="shared" si="35"/>
        <v>1425.488016308783</v>
      </c>
      <c r="CR46" s="34">
        <f t="shared" si="36"/>
        <v>4080.1513427954669</v>
      </c>
      <c r="CS46" s="34">
        <f t="shared" si="37"/>
        <v>5443.8786633942354</v>
      </c>
    </row>
    <row r="47" spans="1:97" x14ac:dyDescent="0.25">
      <c r="A47" s="42" t="s">
        <v>139</v>
      </c>
      <c r="B47" t="s">
        <v>138</v>
      </c>
      <c r="C47" s="15">
        <v>659653</v>
      </c>
      <c r="D47" s="36">
        <v>166.7</v>
      </c>
      <c r="E47" s="17">
        <f t="shared" si="56"/>
        <v>2.5846153846153852E-2</v>
      </c>
      <c r="F47" s="37">
        <f t="shared" si="53"/>
        <v>1.3717816436712658</v>
      </c>
      <c r="G47" s="18">
        <v>32.36</v>
      </c>
      <c r="H47" s="20">
        <v>47.3</v>
      </c>
      <c r="I47" s="20">
        <v>298.8</v>
      </c>
      <c r="J47" s="20">
        <v>651.9</v>
      </c>
      <c r="K47" s="20"/>
      <c r="L47" s="20"/>
      <c r="M47" s="20">
        <v>1042.8</v>
      </c>
      <c r="N47" s="19">
        <f>10.4+2.9</f>
        <v>13.3</v>
      </c>
      <c r="O47" s="19"/>
      <c r="P47" s="21">
        <f t="shared" si="0"/>
        <v>2054.1</v>
      </c>
      <c r="Q47" s="20">
        <f t="shared" si="54"/>
        <v>55262.299999999996</v>
      </c>
      <c r="R47" s="20">
        <v>291.5</v>
      </c>
      <c r="S47" s="20"/>
      <c r="T47" s="22">
        <f t="shared" si="38"/>
        <v>2345.6</v>
      </c>
      <c r="U47" s="23">
        <f t="shared" si="1"/>
        <v>0.875724761255116</v>
      </c>
      <c r="V47" s="24"/>
      <c r="W47" s="35">
        <v>690.65800000000002</v>
      </c>
      <c r="X47" s="24"/>
      <c r="Y47" s="45"/>
      <c r="Z47" s="26">
        <v>2176.2442000000001</v>
      </c>
      <c r="AA47" s="29">
        <v>72.3172</v>
      </c>
      <c r="AB47" s="28">
        <f t="shared" si="39"/>
        <v>2248.5614</v>
      </c>
      <c r="AC47" s="29">
        <v>162.42490000000001</v>
      </c>
      <c r="AD47" s="43">
        <v>690.65800000000002</v>
      </c>
      <c r="AE47" s="28">
        <f t="shared" si="2"/>
        <v>2410.9863</v>
      </c>
      <c r="AF47" s="30"/>
      <c r="AG47" s="39">
        <f>1219.0699-1129.148</f>
        <v>89.921900000000051</v>
      </c>
      <c r="AH47" s="31">
        <f t="shared" si="40"/>
        <v>-155.30820000000017</v>
      </c>
      <c r="AI47" s="28">
        <f t="shared" si="41"/>
        <v>-65.386300000000119</v>
      </c>
      <c r="AK47" s="32">
        <f t="shared" si="3"/>
        <v>2985.3318457060591</v>
      </c>
      <c r="AL47" s="32">
        <f t="shared" si="4"/>
        <v>99.203407481703664</v>
      </c>
      <c r="AM47" s="32">
        <f t="shared" si="5"/>
        <v>222.81149629514098</v>
      </c>
      <c r="AN47" s="32">
        <f t="shared" si="42"/>
        <v>947.43196645470914</v>
      </c>
      <c r="AO47" s="32">
        <f t="shared" si="6"/>
        <v>3217.6510233953209</v>
      </c>
      <c r="AP47" s="33">
        <f t="shared" si="7"/>
        <v>0</v>
      </c>
      <c r="AQ47" s="33">
        <f t="shared" si="43"/>
        <v>947.43196645470914</v>
      </c>
      <c r="AR47" s="46"/>
      <c r="AS47" s="33">
        <f t="shared" si="8"/>
        <v>3299.0742102287109</v>
      </c>
      <c r="AT47" s="33">
        <f t="shared" si="9"/>
        <v>109.62915350949665</v>
      </c>
      <c r="AU47" s="33">
        <f t="shared" si="10"/>
        <v>246.22778945900345</v>
      </c>
      <c r="AV47" s="33">
        <f t="shared" si="44"/>
        <v>1047.0019843766343</v>
      </c>
      <c r="AW47" s="33">
        <f t="shared" si="11"/>
        <v>3654.9311531972107</v>
      </c>
      <c r="AX47" s="33">
        <f t="shared" si="12"/>
        <v>3555.80888739989</v>
      </c>
      <c r="AY47" s="33">
        <f t="shared" si="45"/>
        <v>0</v>
      </c>
      <c r="AZ47" s="33">
        <f t="shared" si="46"/>
        <v>1047.0019843766343</v>
      </c>
      <c r="BA47" s="38"/>
      <c r="BB47" s="32">
        <f t="shared" si="13"/>
        <v>4525.6094427010248</v>
      </c>
      <c r="BC47" s="32">
        <f t="shared" si="14"/>
        <v>150.38726039554683</v>
      </c>
      <c r="BD47" s="32">
        <f t="shared" si="15"/>
        <v>337.77076174161408</v>
      </c>
      <c r="BE47" s="32">
        <f t="shared" si="16"/>
        <v>4877.7933601383165</v>
      </c>
      <c r="BF47" s="32">
        <f t="shared" si="47"/>
        <v>1436.2581030552565</v>
      </c>
      <c r="BG47" s="32">
        <f t="shared" si="48"/>
        <v>6450.0255678934427</v>
      </c>
      <c r="BH47" s="32">
        <f t="shared" si="17"/>
        <v>0</v>
      </c>
      <c r="BI47" s="32">
        <f t="shared" si="49"/>
        <v>1436.2581030552565</v>
      </c>
      <c r="BJ47" s="32">
        <f t="shared" si="55"/>
        <v>-135.97410469986971</v>
      </c>
      <c r="BK47" s="32"/>
      <c r="BM47" s="34">
        <v>2420.0473999999999</v>
      </c>
      <c r="BN47" s="34">
        <v>104.9786</v>
      </c>
      <c r="BO47" s="35">
        <v>1240.6597279999999</v>
      </c>
      <c r="BP47" s="34">
        <f t="shared" si="18"/>
        <v>6111.2857279999989</v>
      </c>
      <c r="BQ47" s="34">
        <f t="shared" si="51"/>
        <v>4596.2916000000005</v>
      </c>
      <c r="BR47" s="34">
        <f t="shared" si="51"/>
        <v>177.29579999999999</v>
      </c>
      <c r="BS47" s="34">
        <f t="shared" si="52"/>
        <v>1403.0846279999998</v>
      </c>
      <c r="BU47" s="34">
        <f t="shared" si="19"/>
        <v>3319.776600134373</v>
      </c>
      <c r="BV47" s="34">
        <f t="shared" si="20"/>
        <v>144.00771645830835</v>
      </c>
      <c r="BW47" s="35">
        <f t="shared" si="21"/>
        <v>1701.9142409125852</v>
      </c>
      <c r="BX47" s="34">
        <f t="shared" si="50"/>
        <v>947.43196645470914</v>
      </c>
      <c r="BY47" s="34">
        <f t="shared" si="22"/>
        <v>8383.3495809005872</v>
      </c>
      <c r="BZ47" s="44"/>
      <c r="CA47" s="34">
        <f t="shared" si="23"/>
        <v>5032.6104787431768</v>
      </c>
      <c r="CB47" s="35">
        <f t="shared" si="24"/>
        <v>218.30828702106766</v>
      </c>
      <c r="CC47" s="34">
        <f t="shared" si="25"/>
        <v>2580.0144028945297</v>
      </c>
      <c r="CD47" s="34">
        <f t="shared" si="26"/>
        <v>1436.2581030552565</v>
      </c>
      <c r="CE47" s="34">
        <f t="shared" si="27"/>
        <v>12708.726528797089</v>
      </c>
      <c r="CG47" s="34">
        <f t="shared" si="57"/>
        <v>9558.2199214442007</v>
      </c>
      <c r="CH47" s="34">
        <f t="shared" si="57"/>
        <v>368.69554741661449</v>
      </c>
      <c r="CI47" s="34">
        <f t="shared" si="57"/>
        <v>2917.7851646361437</v>
      </c>
      <c r="CJ47" s="34">
        <f t="shared" si="29"/>
        <v>1436.2581030552565</v>
      </c>
      <c r="CK47" s="34">
        <f t="shared" si="30"/>
        <v>14144.984631852345</v>
      </c>
      <c r="CL47" s="34">
        <f t="shared" si="58"/>
        <v>12844.700633496959</v>
      </c>
      <c r="CM47" s="34">
        <f t="shared" si="32"/>
        <v>6394.6750656035165</v>
      </c>
      <c r="CO47" s="34">
        <f t="shared" si="33"/>
        <v>9264.394655978218</v>
      </c>
      <c r="CP47" s="34">
        <f t="shared" si="34"/>
        <v>10311.396640354851</v>
      </c>
      <c r="CQ47" s="34">
        <f t="shared" si="35"/>
        <v>1047.0019843766343</v>
      </c>
      <c r="CR47" s="34">
        <f t="shared" si="36"/>
        <v>4661.5837842016927</v>
      </c>
      <c r="CS47" s="34">
        <f t="shared" si="37"/>
        <v>4701.9331375738466</v>
      </c>
    </row>
    <row r="48" spans="1:97" x14ac:dyDescent="0.25">
      <c r="A48" s="42" t="s">
        <v>140</v>
      </c>
      <c r="B48" t="s">
        <v>138</v>
      </c>
      <c r="C48" s="15">
        <v>667146</v>
      </c>
      <c r="D48" s="36">
        <v>171.8</v>
      </c>
      <c r="E48" s="17">
        <f t="shared" si="56"/>
        <v>3.0593881223755393E-2</v>
      </c>
      <c r="F48" s="37">
        <f t="shared" si="53"/>
        <v>1.3310593713620487</v>
      </c>
      <c r="G48" s="18">
        <v>44.85</v>
      </c>
      <c r="H48" s="20">
        <v>42.5</v>
      </c>
      <c r="I48" s="20">
        <v>524</v>
      </c>
      <c r="J48" s="20">
        <v>863.2</v>
      </c>
      <c r="K48" s="20"/>
      <c r="L48" s="20"/>
      <c r="M48" s="20">
        <v>1401</v>
      </c>
      <c r="N48" s="19">
        <v>18.8</v>
      </c>
      <c r="O48" s="19"/>
      <c r="P48" s="21">
        <f t="shared" si="0"/>
        <v>2849.5</v>
      </c>
      <c r="Q48" s="20">
        <f>$Q47+P48</f>
        <v>58111.799999999996</v>
      </c>
      <c r="R48" s="20">
        <v>339</v>
      </c>
      <c r="S48" s="20"/>
      <c r="T48" s="22">
        <f t="shared" si="38"/>
        <v>3188.5</v>
      </c>
      <c r="U48" s="23">
        <f t="shared" si="1"/>
        <v>0.89368041398776854</v>
      </c>
      <c r="V48" s="24"/>
      <c r="W48" s="35">
        <v>581.24599999999998</v>
      </c>
      <c r="X48" s="24"/>
      <c r="Y48" s="45"/>
      <c r="Z48" s="26">
        <v>2389.3020000000001</v>
      </c>
      <c r="AA48" s="29">
        <v>77.037899999999993</v>
      </c>
      <c r="AB48" s="28">
        <f t="shared" si="39"/>
        <v>2466.3398999999999</v>
      </c>
      <c r="AC48" s="29">
        <v>212.78649999999999</v>
      </c>
      <c r="AD48" s="43">
        <v>581.24599999999998</v>
      </c>
      <c r="AE48" s="28">
        <f t="shared" si="2"/>
        <v>2679.1264000000001</v>
      </c>
      <c r="AF48" s="30"/>
      <c r="AG48" s="40">
        <f>480.2107</f>
        <v>480.21069999999997</v>
      </c>
      <c r="AH48" s="31">
        <f t="shared" si="40"/>
        <v>29.162899999999922</v>
      </c>
      <c r="AI48" s="28">
        <f t="shared" si="41"/>
        <v>509.3735999999999</v>
      </c>
      <c r="AK48" s="32">
        <f t="shared" si="3"/>
        <v>3180.3028181140858</v>
      </c>
      <c r="AL48" s="32">
        <f t="shared" si="4"/>
        <v>102.54201874505236</v>
      </c>
      <c r="AM48" s="32">
        <f t="shared" si="5"/>
        <v>283.23146492433057</v>
      </c>
      <c r="AN48" s="32">
        <f t="shared" si="42"/>
        <v>773.67293536670536</v>
      </c>
      <c r="AO48" s="32">
        <f t="shared" si="6"/>
        <v>4244.0828055878919</v>
      </c>
      <c r="AP48" s="33">
        <f t="shared" si="7"/>
        <v>0</v>
      </c>
      <c r="AQ48" s="33">
        <f t="shared" si="43"/>
        <v>773.67293536670536</v>
      </c>
      <c r="AS48" s="33">
        <f t="shared" si="8"/>
        <v>3581.3779892257467</v>
      </c>
      <c r="AT48" s="33">
        <f t="shared" si="9"/>
        <v>115.47382432031368</v>
      </c>
      <c r="AU48" s="33">
        <f t="shared" si="10"/>
        <v>318.95042464468042</v>
      </c>
      <c r="AV48" s="33">
        <f t="shared" si="44"/>
        <v>871.24257658743363</v>
      </c>
      <c r="AW48" s="33">
        <f t="shared" si="11"/>
        <v>4015.8022381907408</v>
      </c>
      <c r="AX48" s="33">
        <f t="shared" si="12"/>
        <v>4779.313673468776</v>
      </c>
      <c r="AY48" s="33">
        <f t="shared" si="45"/>
        <v>0</v>
      </c>
      <c r="AZ48" s="33">
        <f t="shared" si="46"/>
        <v>871.24257658743363</v>
      </c>
      <c r="BA48" s="38"/>
      <c r="BB48" s="32">
        <f t="shared" si="13"/>
        <v>4767.0267349487003</v>
      </c>
      <c r="BC48" s="32">
        <f t="shared" si="14"/>
        <v>153.70251600856838</v>
      </c>
      <c r="BD48" s="32">
        <f t="shared" si="15"/>
        <v>424.54195172320686</v>
      </c>
      <c r="BE48" s="32">
        <f t="shared" si="16"/>
        <v>6361.5502537493921</v>
      </c>
      <c r="BF48" s="32">
        <f t="shared" si="47"/>
        <v>1159.6755962963209</v>
      </c>
      <c r="BG48" s="32">
        <f t="shared" si="48"/>
        <v>6504.9467989767963</v>
      </c>
      <c r="BH48" s="32">
        <f t="shared" si="17"/>
        <v>0</v>
      </c>
      <c r="BI48" s="32">
        <f t="shared" si="49"/>
        <v>1159.6755962963209</v>
      </c>
      <c r="BJ48" s="32">
        <f t="shared" si="55"/>
        <v>1016.2790510689167</v>
      </c>
      <c r="BK48" s="32"/>
      <c r="BM48" s="34">
        <v>2543.1324</v>
      </c>
      <c r="BN48" s="34">
        <v>141.1062</v>
      </c>
      <c r="BO48" s="35">
        <v>1761.7875340000001</v>
      </c>
      <c r="BP48" s="34">
        <f t="shared" si="18"/>
        <v>7634.5261339999997</v>
      </c>
      <c r="BQ48" s="34">
        <f t="shared" si="51"/>
        <v>4932.4344000000001</v>
      </c>
      <c r="BR48" s="34">
        <f t="shared" si="51"/>
        <v>218.14409999999998</v>
      </c>
      <c r="BS48" s="34">
        <f t="shared" si="52"/>
        <v>1974.574034</v>
      </c>
      <c r="BU48" s="34">
        <f t="shared" si="19"/>
        <v>3385.0602136344583</v>
      </c>
      <c r="BV48" s="34">
        <f t="shared" si="20"/>
        <v>187.82072986728753</v>
      </c>
      <c r="BW48" s="35">
        <f t="shared" si="21"/>
        <v>2345.0438074795338</v>
      </c>
      <c r="BX48" s="34">
        <f t="shared" si="50"/>
        <v>773.67293536670536</v>
      </c>
      <c r="BY48" s="34">
        <f t="shared" si="22"/>
        <v>10162.007556569171</v>
      </c>
      <c r="BZ48" s="44"/>
      <c r="CA48" s="34">
        <f t="shared" si="23"/>
        <v>5073.942156041493</v>
      </c>
      <c r="CB48" s="35">
        <f t="shared" si="24"/>
        <v>281.52867568311513</v>
      </c>
      <c r="CC48" s="34">
        <f t="shared" si="25"/>
        <v>3515.0383986106995</v>
      </c>
      <c r="CD48" s="34">
        <f t="shared" si="26"/>
        <v>1159.6755962963209</v>
      </c>
      <c r="CE48" s="34">
        <f t="shared" si="27"/>
        <v>15232.059484084699</v>
      </c>
      <c r="CG48" s="34">
        <f t="shared" si="57"/>
        <v>9840.9688909901924</v>
      </c>
      <c r="CH48" s="34">
        <f t="shared" si="57"/>
        <v>435.23119169168353</v>
      </c>
      <c r="CI48" s="34">
        <f t="shared" si="57"/>
        <v>3939.5803503339062</v>
      </c>
      <c r="CJ48" s="34">
        <f t="shared" si="29"/>
        <v>1159.6755962963209</v>
      </c>
      <c r="CK48" s="34">
        <f t="shared" si="30"/>
        <v>16391.735080381019</v>
      </c>
      <c r="CL48" s="34">
        <f t="shared" si="58"/>
        <v>14215.780433015783</v>
      </c>
      <c r="CM48" s="34">
        <f t="shared" si="32"/>
        <v>7710.8336340389869</v>
      </c>
      <c r="CO48" s="34">
        <f t="shared" si="33"/>
        <v>11443.561280439362</v>
      </c>
      <c r="CP48" s="34">
        <f t="shared" si="34"/>
        <v>12314.803857026796</v>
      </c>
      <c r="CQ48" s="34">
        <f t="shared" si="35"/>
        <v>871.24257658743363</v>
      </c>
      <c r="CR48" s="34">
        <f t="shared" si="36"/>
        <v>5793.005030383154</v>
      </c>
      <c r="CS48" s="34">
        <f t="shared" si="37"/>
        <v>4887.0448147781744</v>
      </c>
    </row>
    <row r="49" spans="1:97" x14ac:dyDescent="0.25">
      <c r="A49" s="42" t="s">
        <v>141</v>
      </c>
      <c r="B49" t="s">
        <v>138</v>
      </c>
      <c r="C49" s="15">
        <v>674583</v>
      </c>
      <c r="D49" s="36">
        <v>177.3</v>
      </c>
      <c r="E49" s="17">
        <f t="shared" si="56"/>
        <v>3.2013969732246794E-2</v>
      </c>
      <c r="F49" s="37">
        <f t="shared" si="53"/>
        <v>1.2897687535250986</v>
      </c>
      <c r="G49" s="18">
        <v>62.12</v>
      </c>
      <c r="H49" s="20">
        <v>54.5</v>
      </c>
      <c r="I49" s="20">
        <v>661.1</v>
      </c>
      <c r="J49" s="20">
        <v>1199.55</v>
      </c>
      <c r="K49" s="20"/>
      <c r="L49" s="20"/>
      <c r="M49" s="20">
        <v>1772.2</v>
      </c>
      <c r="N49" s="19">
        <v>11.9</v>
      </c>
      <c r="O49" s="19"/>
      <c r="P49" s="21">
        <f t="shared" si="0"/>
        <v>3699.2500000000005</v>
      </c>
      <c r="Q49" s="20">
        <f t="shared" si="54"/>
        <v>61811.049999999996</v>
      </c>
      <c r="R49" s="20">
        <v>501.14999999999918</v>
      </c>
      <c r="S49" s="20"/>
      <c r="T49" s="22">
        <f>+P49+R49</f>
        <v>4200.3999999999996</v>
      </c>
      <c r="U49" s="23">
        <f t="shared" si="1"/>
        <v>0.8806899342919724</v>
      </c>
      <c r="V49" s="24"/>
      <c r="W49" s="35">
        <v>532</v>
      </c>
      <c r="X49" s="24"/>
      <c r="Z49" s="26">
        <v>2701.7116000000001</v>
      </c>
      <c r="AA49" s="29">
        <v>162.23660000000001</v>
      </c>
      <c r="AB49" s="28">
        <f t="shared" si="39"/>
        <v>2863.9482000000003</v>
      </c>
      <c r="AC49" s="29">
        <v>464.89850000000001</v>
      </c>
      <c r="AD49" s="43">
        <v>532</v>
      </c>
      <c r="AE49" s="28">
        <f t="shared" si="2"/>
        <v>3328.8467000000001</v>
      </c>
      <c r="AF49" s="30"/>
      <c r="AG49" s="39">
        <v>970.96559999999999</v>
      </c>
      <c r="AH49" s="31">
        <f t="shared" si="40"/>
        <v>-99.412300000000414</v>
      </c>
      <c r="AI49" s="28">
        <f t="shared" si="41"/>
        <v>871.55329999999958</v>
      </c>
      <c r="AK49" s="32">
        <f t="shared" si="3"/>
        <v>3484.5832027162996</v>
      </c>
      <c r="AL49" s="32">
        <f t="shared" si="4"/>
        <v>209.24769735815002</v>
      </c>
      <c r="AM49" s="32">
        <f t="shared" si="5"/>
        <v>599.61155886068809</v>
      </c>
      <c r="AN49" s="32">
        <f t="shared" si="42"/>
        <v>686.15697687535248</v>
      </c>
      <c r="AO49" s="32">
        <f t="shared" si="6"/>
        <v>5417.5446723068235</v>
      </c>
      <c r="AP49" s="33">
        <f t="shared" si="7"/>
        <v>0</v>
      </c>
      <c r="AQ49" s="33">
        <f t="shared" si="43"/>
        <v>686.15697687535248</v>
      </c>
      <c r="AS49" s="33">
        <f t="shared" si="8"/>
        <v>4005.0099098257738</v>
      </c>
      <c r="AT49" s="33">
        <f t="shared" si="9"/>
        <v>240.4990935140672</v>
      </c>
      <c r="AU49" s="33">
        <f t="shared" si="10"/>
        <v>689.16426888907665</v>
      </c>
      <c r="AV49" s="33">
        <f t="shared" si="44"/>
        <v>788.63534954186514</v>
      </c>
      <c r="AW49" s="33">
        <f t="shared" si="11"/>
        <v>4934.673272228918</v>
      </c>
      <c r="AX49" s="33">
        <f t="shared" si="12"/>
        <v>6226.6615079241537</v>
      </c>
      <c r="AY49" s="33">
        <f t="shared" si="45"/>
        <v>0</v>
      </c>
      <c r="AZ49" s="33">
        <f t="shared" si="46"/>
        <v>788.63534954186503</v>
      </c>
      <c r="BA49" s="38"/>
      <c r="BB49" s="32">
        <f t="shared" si="13"/>
        <v>5165.5366392516553</v>
      </c>
      <c r="BC49" s="32">
        <f t="shared" si="14"/>
        <v>310.18821606555457</v>
      </c>
      <c r="BD49" s="32">
        <f t="shared" si="15"/>
        <v>888.8625400591003</v>
      </c>
      <c r="BE49" s="32">
        <f t="shared" si="16"/>
        <v>8030.9534516980466</v>
      </c>
      <c r="BF49" s="32">
        <f t="shared" si="47"/>
        <v>1017.1572317644418</v>
      </c>
      <c r="BG49" s="32">
        <f t="shared" si="48"/>
        <v>7381.7446271407516</v>
      </c>
      <c r="BH49" s="32">
        <f t="shared" si="17"/>
        <v>0</v>
      </c>
      <c r="BI49" s="32">
        <f t="shared" si="49"/>
        <v>1017.1572317644418</v>
      </c>
      <c r="BJ49" s="32">
        <f t="shared" si="55"/>
        <v>1666.3660563217368</v>
      </c>
      <c r="BK49" s="32"/>
      <c r="BM49" s="34">
        <v>2573.6887999999999</v>
      </c>
      <c r="BN49" s="34">
        <v>120.66289999999999</v>
      </c>
      <c r="BO49" s="35">
        <v>1364.103631</v>
      </c>
      <c r="BP49" s="34">
        <f t="shared" si="18"/>
        <v>8258.8553309999988</v>
      </c>
      <c r="BQ49" s="34">
        <f t="shared" si="51"/>
        <v>5275.4004000000004</v>
      </c>
      <c r="BR49" s="34">
        <f t="shared" si="51"/>
        <v>282.89949999999999</v>
      </c>
      <c r="BS49" s="34">
        <f t="shared" si="52"/>
        <v>1829.002131</v>
      </c>
      <c r="BU49" s="34">
        <f t="shared" si="19"/>
        <v>3319.4633955375066</v>
      </c>
      <c r="BV49" s="34">
        <f t="shared" si="20"/>
        <v>155.62723812972359</v>
      </c>
      <c r="BW49" s="35">
        <f t="shared" si="21"/>
        <v>1759.378239833931</v>
      </c>
      <c r="BX49" s="34">
        <f t="shared" si="50"/>
        <v>686.15697687535248</v>
      </c>
      <c r="BY49" s="34">
        <f t="shared" si="22"/>
        <v>10652.013545807984</v>
      </c>
      <c r="BZ49" s="44"/>
      <c r="CA49" s="34">
        <f t="shared" si="23"/>
        <v>4920.7634872765939</v>
      </c>
      <c r="CB49" s="35">
        <f t="shared" si="24"/>
        <v>230.70139349749931</v>
      </c>
      <c r="CC49" s="34">
        <f t="shared" si="25"/>
        <v>2608.0975059168863</v>
      </c>
      <c r="CD49" s="34">
        <f t="shared" si="26"/>
        <v>1017.1572317644418</v>
      </c>
      <c r="CE49" s="34">
        <f t="shared" si="27"/>
        <v>15790.515838389025</v>
      </c>
      <c r="CG49" s="34">
        <f t="shared" si="57"/>
        <v>10086.300126528249</v>
      </c>
      <c r="CH49" s="34">
        <f t="shared" si="57"/>
        <v>540.88960956305391</v>
      </c>
      <c r="CI49" s="34">
        <f t="shared" si="57"/>
        <v>3496.9600459759868</v>
      </c>
      <c r="CJ49" s="34">
        <f t="shared" si="29"/>
        <v>1017.1572317644418</v>
      </c>
      <c r="CK49" s="34">
        <f t="shared" si="30"/>
        <v>16807.673070153465</v>
      </c>
      <c r="CL49" s="34">
        <f t="shared" si="58"/>
        <v>14124.149782067288</v>
      </c>
      <c r="CM49" s="34">
        <f t="shared" si="32"/>
        <v>6742.4051549265369</v>
      </c>
      <c r="CO49" s="34">
        <f t="shared" si="33"/>
        <v>12242.90462552421</v>
      </c>
      <c r="CP49" s="34">
        <f t="shared" si="34"/>
        <v>13031.539975066074</v>
      </c>
      <c r="CQ49" s="34">
        <f t="shared" si="35"/>
        <v>788.63534954186503</v>
      </c>
      <c r="CR49" s="34">
        <f t="shared" si="36"/>
        <v>5227.6077680581921</v>
      </c>
      <c r="CS49" s="34">
        <f t="shared" si="37"/>
        <v>5723.3086217707823</v>
      </c>
    </row>
    <row r="50" spans="1:97" x14ac:dyDescent="0.25">
      <c r="A50" s="42" t="s">
        <v>142</v>
      </c>
      <c r="B50" t="s">
        <v>143</v>
      </c>
      <c r="C50" s="15">
        <v>680169</v>
      </c>
      <c r="D50" s="36">
        <v>181.23699999999999</v>
      </c>
      <c r="E50" s="17">
        <f t="shared" si="56"/>
        <v>2.2205301748448925E-2</v>
      </c>
      <c r="F50" s="37">
        <f t="shared" si="53"/>
        <v>1.2617511876713916</v>
      </c>
      <c r="G50" s="18">
        <v>61.6</v>
      </c>
      <c r="H50" s="20">
        <v>65.599999999999994</v>
      </c>
      <c r="I50" s="20">
        <v>594.4</v>
      </c>
      <c r="J50" s="20">
        <v>2208.4</v>
      </c>
      <c r="K50" s="20"/>
      <c r="L50" s="20"/>
      <c r="M50" s="20">
        <v>1583.8</v>
      </c>
      <c r="N50" s="19">
        <v>29.2</v>
      </c>
      <c r="O50" s="19"/>
      <c r="P50" s="21">
        <f t="shared" si="0"/>
        <v>4481.3999999999996</v>
      </c>
      <c r="Q50" s="20">
        <f t="shared" si="54"/>
        <v>66292.45</v>
      </c>
      <c r="R50" s="20">
        <v>667.1</v>
      </c>
      <c r="S50" s="20"/>
      <c r="T50" s="22">
        <f t="shared" si="38"/>
        <v>5148.5</v>
      </c>
      <c r="U50" s="23">
        <f t="shared" si="1"/>
        <v>0.87042828008157713</v>
      </c>
      <c r="V50" s="24"/>
      <c r="W50" s="35">
        <v>661</v>
      </c>
      <c r="X50" s="24"/>
      <c r="Z50" s="26">
        <v>2986.2673</v>
      </c>
      <c r="AA50" s="29">
        <v>254.834</v>
      </c>
      <c r="AB50" s="28">
        <f t="shared" si="39"/>
        <v>3241.1012999999998</v>
      </c>
      <c r="AC50" s="29">
        <v>1295.1536000000001</v>
      </c>
      <c r="AD50" s="43">
        <v>661</v>
      </c>
      <c r="AE50" s="28">
        <f t="shared" si="2"/>
        <v>4536.2548999999999</v>
      </c>
      <c r="AF50" s="30"/>
      <c r="AG50" s="39">
        <v>711.04259999999999</v>
      </c>
      <c r="AH50" s="31">
        <f t="shared" si="40"/>
        <v>-98.7974999999999</v>
      </c>
      <c r="AI50" s="28">
        <f t="shared" si="41"/>
        <v>612.24510000000009</v>
      </c>
      <c r="AK50" s="32">
        <f t="shared" si="3"/>
        <v>3767.9263124792396</v>
      </c>
      <c r="AL50" s="32">
        <f t="shared" si="4"/>
        <v>321.53710215905141</v>
      </c>
      <c r="AM50" s="32">
        <f t="shared" si="5"/>
        <v>1634.1615930168787</v>
      </c>
      <c r="AN50" s="32">
        <f t="shared" si="42"/>
        <v>834.01753505078989</v>
      </c>
      <c r="AO50" s="32">
        <f t="shared" si="6"/>
        <v>6496.1259897261598</v>
      </c>
      <c r="AP50" s="33">
        <f t="shared" si="7"/>
        <v>0</v>
      </c>
      <c r="AQ50" s="33">
        <f t="shared" si="43"/>
        <v>834.01753505078989</v>
      </c>
      <c r="AS50" s="33">
        <f t="shared" si="8"/>
        <v>4390.4783958104526</v>
      </c>
      <c r="AT50" s="33">
        <f t="shared" si="9"/>
        <v>374.66276763569056</v>
      </c>
      <c r="AU50" s="33">
        <f t="shared" si="10"/>
        <v>1904.1644061990476</v>
      </c>
      <c r="AV50" s="33">
        <f t="shared" si="44"/>
        <v>971.81729834791054</v>
      </c>
      <c r="AW50" s="33">
        <f t="shared" si="11"/>
        <v>6669.3055696451902</v>
      </c>
      <c r="AX50" s="33">
        <f t="shared" si="12"/>
        <v>7569.4423003694665</v>
      </c>
      <c r="AY50" s="33">
        <f t="shared" si="45"/>
        <v>0</v>
      </c>
      <c r="AZ50" s="33">
        <f t="shared" si="46"/>
        <v>971.81729834791054</v>
      </c>
      <c r="BA50" s="38"/>
      <c r="BB50" s="32">
        <f t="shared" si="13"/>
        <v>5539.6913303594247</v>
      </c>
      <c r="BC50" s="32">
        <f t="shared" si="14"/>
        <v>472.73119204058315</v>
      </c>
      <c r="BD50" s="32">
        <f t="shared" si="15"/>
        <v>2402.5817010432388</v>
      </c>
      <c r="BE50" s="32">
        <f t="shared" si="16"/>
        <v>9550.752812501245</v>
      </c>
      <c r="BF50" s="32">
        <f t="shared" si="47"/>
        <v>1226.1916303900794</v>
      </c>
      <c r="BG50" s="32">
        <f t="shared" si="48"/>
        <v>9641.1958538333256</v>
      </c>
      <c r="BH50" s="32">
        <f t="shared" si="17"/>
        <v>0</v>
      </c>
      <c r="BI50" s="32">
        <f t="shared" si="49"/>
        <v>1226.1916303900794</v>
      </c>
      <c r="BJ50" s="32">
        <f t="shared" si="55"/>
        <v>1135.7485890579987</v>
      </c>
      <c r="BK50" s="32"/>
      <c r="BM50" s="34">
        <v>2720.7512000000002</v>
      </c>
      <c r="BN50" s="34">
        <v>117.80380000000001</v>
      </c>
      <c r="BO50" s="35">
        <v>1599.9631549999999</v>
      </c>
      <c r="BP50" s="34">
        <f t="shared" si="18"/>
        <v>9587.0181549999998</v>
      </c>
      <c r="BQ50" s="34">
        <f t="shared" si="51"/>
        <v>5707.0185000000001</v>
      </c>
      <c r="BR50" s="34">
        <f t="shared" si="51"/>
        <v>372.63780000000003</v>
      </c>
      <c r="BS50" s="34">
        <f t="shared" si="52"/>
        <v>2895.116755</v>
      </c>
      <c r="BU50" s="34">
        <f t="shared" si="19"/>
        <v>3432.9110579583639</v>
      </c>
      <c r="BV50" s="34">
        <f t="shared" si="20"/>
        <v>148.6390845622031</v>
      </c>
      <c r="BW50" s="35">
        <f t="shared" si="21"/>
        <v>2018.7554110517167</v>
      </c>
      <c r="BX50" s="34">
        <f t="shared" si="50"/>
        <v>834.01753505078989</v>
      </c>
      <c r="BY50" s="34">
        <f t="shared" si="22"/>
        <v>12096.431543298444</v>
      </c>
      <c r="BZ50" s="44"/>
      <c r="CA50" s="34">
        <f t="shared" si="23"/>
        <v>5047.1442508528962</v>
      </c>
      <c r="CB50" s="35">
        <f t="shared" si="24"/>
        <v>218.53257728917825</v>
      </c>
      <c r="CC50" s="34">
        <f t="shared" si="25"/>
        <v>2968.0203170854843</v>
      </c>
      <c r="CD50" s="34">
        <f t="shared" si="26"/>
        <v>1226.1916303900794</v>
      </c>
      <c r="CE50" s="34">
        <f t="shared" si="27"/>
        <v>17784.449957728804</v>
      </c>
      <c r="CG50" s="34">
        <f t="shared" si="57"/>
        <v>10586.835581212321</v>
      </c>
      <c r="CH50" s="34">
        <f t="shared" si="57"/>
        <v>691.26376932976143</v>
      </c>
      <c r="CI50" s="34">
        <f t="shared" si="57"/>
        <v>5370.6020181287231</v>
      </c>
      <c r="CJ50" s="34">
        <f t="shared" si="29"/>
        <v>1226.1916303900794</v>
      </c>
      <c r="CK50" s="34">
        <f t="shared" si="30"/>
        <v>19010.641588118884</v>
      </c>
      <c r="CL50" s="34">
        <f t="shared" si="58"/>
        <v>16648.701368670805</v>
      </c>
      <c r="CM50" s="34">
        <f t="shared" si="32"/>
        <v>7007.5055148374795</v>
      </c>
      <c r="CO50" s="34">
        <f t="shared" si="33"/>
        <v>14095.053075044583</v>
      </c>
      <c r="CP50" s="34">
        <f t="shared" si="34"/>
        <v>15066.870373392496</v>
      </c>
      <c r="CQ50" s="34">
        <f t="shared" si="35"/>
        <v>971.81729834791054</v>
      </c>
      <c r="CR50" s="34">
        <f t="shared" si="36"/>
        <v>5553.7934763272069</v>
      </c>
      <c r="CS50" s="34">
        <f t="shared" si="37"/>
        <v>7641.122867993101</v>
      </c>
    </row>
    <row r="51" spans="1:97" x14ac:dyDescent="0.25">
      <c r="A51" s="42" t="s">
        <v>144</v>
      </c>
      <c r="B51" t="s">
        <v>143</v>
      </c>
      <c r="C51" s="15">
        <v>686818</v>
      </c>
      <c r="D51" s="36">
        <v>189.49700000000001</v>
      </c>
      <c r="E51" s="17">
        <f t="shared" si="56"/>
        <v>4.5575682669653617E-2</v>
      </c>
      <c r="F51" s="37">
        <f t="shared" si="53"/>
        <v>1.2067526134978388</v>
      </c>
      <c r="G51" s="18">
        <v>96.51</v>
      </c>
      <c r="H51" s="47">
        <v>81.5</v>
      </c>
      <c r="I51" s="47">
        <v>605.79999999999995</v>
      </c>
      <c r="J51" s="47">
        <v>6810.9</v>
      </c>
      <c r="K51" s="47"/>
      <c r="L51" s="47">
        <v>11.7</v>
      </c>
      <c r="M51" s="47">
        <v>2420.6</v>
      </c>
      <c r="N51" s="19">
        <v>25.5</v>
      </c>
      <c r="P51" s="21">
        <f>SUM(H51:O51)</f>
        <v>9956</v>
      </c>
      <c r="Q51" s="20">
        <f t="shared" si="54"/>
        <v>76248.45</v>
      </c>
      <c r="R51" s="47">
        <v>793.1</v>
      </c>
      <c r="S51" s="19"/>
      <c r="T51" s="22">
        <f t="shared" ref="T51:T63" si="59">+P51+R51+S51</f>
        <v>10749.1</v>
      </c>
      <c r="U51" s="48">
        <f>P51/T51</f>
        <v>0.92621707863914182</v>
      </c>
      <c r="V51" s="49"/>
      <c r="W51" s="35">
        <v>989.44899999999996</v>
      </c>
      <c r="X51" s="49"/>
      <c r="Z51" s="26">
        <v>3152.4794999999999</v>
      </c>
      <c r="AA51" s="29">
        <v>1145.1805999999999</v>
      </c>
      <c r="AB51" s="28">
        <f t="shared" si="39"/>
        <v>4297.6601000000001</v>
      </c>
      <c r="AC51" s="29">
        <v>1423.1959999999999</v>
      </c>
      <c r="AD51" s="43">
        <v>989.44899999999996</v>
      </c>
      <c r="AE51" s="28">
        <f t="shared" si="2"/>
        <v>5720.8561</v>
      </c>
      <c r="AF51" s="30"/>
      <c r="AG51" s="39">
        <v>3414.3751000000002</v>
      </c>
      <c r="AH51" s="31">
        <f>T51-AE51-AF51-AG51</f>
        <v>1613.8688000000002</v>
      </c>
      <c r="AI51" s="28">
        <f t="shared" si="41"/>
        <v>5028.2439000000004</v>
      </c>
      <c r="AK51" s="32">
        <f t="shared" si="3"/>
        <v>3804.2628756233598</v>
      </c>
      <c r="AL51" s="32">
        <f t="shared" si="4"/>
        <v>1381.9496819770229</v>
      </c>
      <c r="AM51" s="32">
        <f t="shared" si="5"/>
        <v>1717.4454925196701</v>
      </c>
      <c r="AN51" s="32">
        <f t="shared" si="42"/>
        <v>1194.0201666728231</v>
      </c>
      <c r="AO51" s="32">
        <f t="shared" si="6"/>
        <v>12971.504517749619</v>
      </c>
      <c r="AP51" s="33">
        <f t="shared" si="7"/>
        <v>0</v>
      </c>
      <c r="AQ51" s="33">
        <f t="shared" si="43"/>
        <v>1194.0201666728231</v>
      </c>
      <c r="AS51" s="33">
        <f t="shared" si="8"/>
        <v>4589.9779854342778</v>
      </c>
      <c r="AT51" s="33">
        <f t="shared" si="9"/>
        <v>1667.3712686621491</v>
      </c>
      <c r="AU51" s="33">
        <f t="shared" si="10"/>
        <v>2072.1588543107487</v>
      </c>
      <c r="AV51" s="33">
        <f t="shared" si="44"/>
        <v>1440.6276480814422</v>
      </c>
      <c r="AW51" s="33">
        <f t="shared" si="11"/>
        <v>8329.5081084071753</v>
      </c>
      <c r="AX51" s="33">
        <f t="shared" si="12"/>
        <v>15650.579920735916</v>
      </c>
      <c r="AY51" s="33">
        <f t="shared" si="45"/>
        <v>0</v>
      </c>
      <c r="AZ51" s="33">
        <f t="shared" si="46"/>
        <v>1440.6276480814422</v>
      </c>
      <c r="BA51" s="38"/>
      <c r="BB51" s="32">
        <f t="shared" si="13"/>
        <v>5538.9679298203591</v>
      </c>
      <c r="BC51" s="32">
        <f t="shared" si="14"/>
        <v>2012.1046361292554</v>
      </c>
      <c r="BD51" s="32">
        <f t="shared" si="15"/>
        <v>2500.5831130221836</v>
      </c>
      <c r="BE51" s="32">
        <f t="shared" si="16"/>
        <v>18886.378222104864</v>
      </c>
      <c r="BF51" s="32">
        <f t="shared" si="47"/>
        <v>1738.481179399525</v>
      </c>
      <c r="BG51" s="32">
        <f t="shared" si="48"/>
        <v>11790.136858371323</v>
      </c>
      <c r="BH51" s="32">
        <f t="shared" si="17"/>
        <v>0</v>
      </c>
      <c r="BI51" s="32">
        <f t="shared" si="49"/>
        <v>1738.481179399525</v>
      </c>
      <c r="BJ51" s="32">
        <f t="shared" si="55"/>
        <v>8834.7225431330662</v>
      </c>
      <c r="BK51" s="32"/>
      <c r="BM51" s="34">
        <v>2680.0467000000003</v>
      </c>
      <c r="BN51" s="34">
        <v>112.1973</v>
      </c>
      <c r="BO51" s="35">
        <v>1075.4858810000001</v>
      </c>
      <c r="BP51" s="34">
        <f t="shared" si="18"/>
        <v>14616.829881000001</v>
      </c>
      <c r="BQ51" s="34">
        <f t="shared" si="51"/>
        <v>5832.5262000000002</v>
      </c>
      <c r="BR51" s="34">
        <f t="shared" si="51"/>
        <v>1257.3779</v>
      </c>
      <c r="BS51" s="34">
        <f t="shared" si="52"/>
        <v>2498.681881</v>
      </c>
      <c r="BU51" s="34">
        <f t="shared" si="19"/>
        <v>3234.1533595212586</v>
      </c>
      <c r="BV51" s="34">
        <f t="shared" si="20"/>
        <v>135.39438500240107</v>
      </c>
      <c r="BW51" s="35">
        <f t="shared" si="21"/>
        <v>1297.8453976767757</v>
      </c>
      <c r="BX51" s="34">
        <f t="shared" si="50"/>
        <v>1194.0201666728231</v>
      </c>
      <c r="BY51" s="34">
        <f t="shared" si="22"/>
        <v>17638.897659950057</v>
      </c>
      <c r="BZ51" s="44"/>
      <c r="CA51" s="34">
        <f t="shared" si="23"/>
        <v>4708.8942915317575</v>
      </c>
      <c r="CB51" s="35">
        <f t="shared" si="24"/>
        <v>197.13284305653181</v>
      </c>
      <c r="CC51" s="34">
        <f t="shared" si="25"/>
        <v>1889.6496563525936</v>
      </c>
      <c r="CD51" s="34">
        <f t="shared" si="26"/>
        <v>1738.481179399525</v>
      </c>
      <c r="CE51" s="34">
        <f t="shared" si="27"/>
        <v>25682.055013045749</v>
      </c>
      <c r="CG51" s="34">
        <f t="shared" si="57"/>
        <v>10247.862221352116</v>
      </c>
      <c r="CH51" s="34">
        <f t="shared" si="57"/>
        <v>2209.2374791857874</v>
      </c>
      <c r="CI51" s="34">
        <f t="shared" si="57"/>
        <v>4390.2327693747775</v>
      </c>
      <c r="CJ51" s="34">
        <f t="shared" si="29"/>
        <v>1738.481179399525</v>
      </c>
      <c r="CK51" s="34">
        <f t="shared" si="30"/>
        <v>27420.536192445274</v>
      </c>
      <c r="CL51" s="34">
        <f t="shared" si="58"/>
        <v>16847.332469912682</v>
      </c>
      <c r="CM51" s="34">
        <f t="shared" si="32"/>
        <v>5057.1956115413595</v>
      </c>
      <c r="CO51" s="34">
        <f t="shared" si="33"/>
        <v>21281.95516279422</v>
      </c>
      <c r="CP51" s="34">
        <f t="shared" si="34"/>
        <v>22722.582810875661</v>
      </c>
      <c r="CQ51" s="34">
        <f t="shared" si="35"/>
        <v>1440.6276480814422</v>
      </c>
      <c r="CR51" s="34">
        <f t="shared" si="36"/>
        <v>4190.7475939768628</v>
      </c>
      <c r="CS51" s="34">
        <f t="shared" si="37"/>
        <v>9770.1357564886166</v>
      </c>
    </row>
    <row r="52" spans="1:97" x14ac:dyDescent="0.25">
      <c r="A52" s="42" t="s">
        <v>145</v>
      </c>
      <c r="B52" t="s">
        <v>143</v>
      </c>
      <c r="C52" s="15">
        <v>697828</v>
      </c>
      <c r="D52" s="36">
        <v>191.744</v>
      </c>
      <c r="E52" s="17">
        <f t="shared" si="56"/>
        <v>1.1857707509881354E-2</v>
      </c>
      <c r="F52" s="37">
        <f t="shared" si="53"/>
        <v>1.1926109813084111</v>
      </c>
      <c r="G52" s="18">
        <v>68.34</v>
      </c>
      <c r="H52" s="47">
        <v>111.2</v>
      </c>
      <c r="I52" s="47">
        <v>492.2</v>
      </c>
      <c r="J52" s="47">
        <v>3100.9</v>
      </c>
      <c r="K52" s="47"/>
      <c r="L52" s="47">
        <v>11.1</v>
      </c>
      <c r="M52" s="47">
        <v>1451.2</v>
      </c>
      <c r="N52" s="19">
        <v>14.4</v>
      </c>
      <c r="P52" s="21">
        <f t="shared" ref="P52:P61" si="60">SUM(H52:O52)</f>
        <v>5181</v>
      </c>
      <c r="Q52" s="20">
        <f t="shared" si="54"/>
        <v>81429.45</v>
      </c>
      <c r="R52" s="47">
        <v>650.19999999999982</v>
      </c>
      <c r="S52" s="50"/>
      <c r="T52" s="22">
        <f t="shared" si="59"/>
        <v>5831.2</v>
      </c>
      <c r="U52" s="48">
        <f t="shared" si="1"/>
        <v>0.88849636438468926</v>
      </c>
      <c r="V52" s="49"/>
      <c r="W52" s="35">
        <v>1293</v>
      </c>
      <c r="X52" s="49"/>
      <c r="Z52" s="26">
        <v>3349.0922999999998</v>
      </c>
      <c r="AA52" s="29">
        <v>1392.527</v>
      </c>
      <c r="AB52" s="28">
        <f t="shared" si="39"/>
        <v>4741.6193000000003</v>
      </c>
      <c r="AC52" s="29">
        <v>814.92579999999998</v>
      </c>
      <c r="AD52" s="43">
        <v>1293</v>
      </c>
      <c r="AE52" s="28">
        <f t="shared" si="2"/>
        <v>5556.5451000000003</v>
      </c>
      <c r="AF52" s="30"/>
      <c r="AG52" s="39">
        <v>423.14670000000001</v>
      </c>
      <c r="AH52" s="31">
        <f t="shared" si="40"/>
        <v>-148.49180000000047</v>
      </c>
      <c r="AI52" s="28">
        <f t="shared" si="41"/>
        <v>274.65489999999954</v>
      </c>
      <c r="AK52" s="32">
        <f t="shared" si="3"/>
        <v>3994.1642543954435</v>
      </c>
      <c r="AL52" s="32">
        <f t="shared" si="4"/>
        <v>1660.742991968458</v>
      </c>
      <c r="AM52" s="32">
        <f t="shared" si="5"/>
        <v>971.88945803154195</v>
      </c>
      <c r="AN52" s="32">
        <f t="shared" si="42"/>
        <v>1542.0459988317757</v>
      </c>
      <c r="AO52" s="32">
        <f t="shared" si="6"/>
        <v>6954.3531542056071</v>
      </c>
      <c r="AP52" s="33">
        <f t="shared" si="7"/>
        <v>0</v>
      </c>
      <c r="AQ52" s="33">
        <f t="shared" si="43"/>
        <v>1542.0459988317757</v>
      </c>
      <c r="AS52" s="33">
        <f t="shared" si="8"/>
        <v>4799.309142080856</v>
      </c>
      <c r="AT52" s="33">
        <f t="shared" si="9"/>
        <v>1995.5160870587022</v>
      </c>
      <c r="AU52" s="33">
        <f t="shared" si="10"/>
        <v>1167.8032409132336</v>
      </c>
      <c r="AV52" s="33">
        <f t="shared" si="44"/>
        <v>1852.8921166820478</v>
      </c>
      <c r="AW52" s="33">
        <f t="shared" si="11"/>
        <v>7962.6284700527922</v>
      </c>
      <c r="AX52" s="33">
        <f t="shared" si="12"/>
        <v>8356.2138521240195</v>
      </c>
      <c r="AY52" s="33">
        <f t="shared" si="45"/>
        <v>0</v>
      </c>
      <c r="AZ52" s="33">
        <f t="shared" si="46"/>
        <v>1852.8921166820478</v>
      </c>
      <c r="BA52" s="38"/>
      <c r="BB52" s="32">
        <f t="shared" si="13"/>
        <v>5723.7087855394793</v>
      </c>
      <c r="BC52" s="32">
        <f t="shared" si="14"/>
        <v>2379.8743988038</v>
      </c>
      <c r="BD52" s="32">
        <f t="shared" si="15"/>
        <v>1392.7349691206744</v>
      </c>
      <c r="BE52" s="32">
        <f t="shared" si="16"/>
        <v>9965.7124022045646</v>
      </c>
      <c r="BF52" s="32">
        <f t="shared" si="47"/>
        <v>2209.7794855347961</v>
      </c>
      <c r="BG52" s="32">
        <f t="shared" si="48"/>
        <v>11706.09763899875</v>
      </c>
      <c r="BH52" s="32">
        <f t="shared" si="17"/>
        <v>0</v>
      </c>
      <c r="BI52" s="32">
        <f t="shared" si="49"/>
        <v>2209.7794855347961</v>
      </c>
      <c r="BJ52" s="32">
        <f t="shared" si="55"/>
        <v>469.39424874061069</v>
      </c>
      <c r="BK52" s="32"/>
      <c r="BM52" s="34">
        <v>3053.8386</v>
      </c>
      <c r="BN52" s="34">
        <v>97.261800000000008</v>
      </c>
      <c r="BO52" s="35">
        <v>1985.2919429999999</v>
      </c>
      <c r="BP52" s="34">
        <f t="shared" si="18"/>
        <v>10967.592343</v>
      </c>
      <c r="BQ52" s="34">
        <f t="shared" si="51"/>
        <v>6402.9308999999994</v>
      </c>
      <c r="BR52" s="34">
        <f t="shared" si="51"/>
        <v>1489.7888</v>
      </c>
      <c r="BS52" s="34">
        <f t="shared" si="52"/>
        <v>2800.2177430000002</v>
      </c>
      <c r="BU52" s="34">
        <f t="shared" si="19"/>
        <v>3642.0414495035043</v>
      </c>
      <c r="BV52" s="34">
        <f t="shared" si="20"/>
        <v>115.99549074182244</v>
      </c>
      <c r="BW52" s="35">
        <f t="shared" si="21"/>
        <v>2367.6809723249121</v>
      </c>
      <c r="BX52" s="34">
        <f t="shared" si="50"/>
        <v>1542.0459988317757</v>
      </c>
      <c r="BY52" s="34">
        <f t="shared" si="22"/>
        <v>13080.071066775847</v>
      </c>
      <c r="BZ52" s="44"/>
      <c r="CA52" s="34">
        <f t="shared" si="23"/>
        <v>5219.1105107612539</v>
      </c>
      <c r="CB52" s="35">
        <f t="shared" si="24"/>
        <v>166.22361203881536</v>
      </c>
      <c r="CC52" s="34">
        <f t="shared" si="25"/>
        <v>3392.9291635258433</v>
      </c>
      <c r="CD52" s="34">
        <f t="shared" si="26"/>
        <v>2209.7794855347961</v>
      </c>
      <c r="CE52" s="34">
        <f t="shared" si="27"/>
        <v>18743.975688530478</v>
      </c>
      <c r="CG52" s="34">
        <f t="shared" si="57"/>
        <v>10942.819296300733</v>
      </c>
      <c r="CH52" s="34">
        <f t="shared" si="57"/>
        <v>2546.0980108426152</v>
      </c>
      <c r="CI52" s="34">
        <f t="shared" si="57"/>
        <v>4785.6641326465178</v>
      </c>
      <c r="CJ52" s="34">
        <f t="shared" si="29"/>
        <v>2209.7794855347961</v>
      </c>
      <c r="CK52" s="34">
        <f t="shared" si="30"/>
        <v>20953.755174065274</v>
      </c>
      <c r="CL52" s="34">
        <f t="shared" si="58"/>
        <v>18274.581439789865</v>
      </c>
      <c r="CM52" s="34">
        <f t="shared" si="32"/>
        <v>6568.4838007911148</v>
      </c>
      <c r="CO52" s="34">
        <f t="shared" si="33"/>
        <v>15716.75590976573</v>
      </c>
      <c r="CP52" s="34">
        <f t="shared" si="34"/>
        <v>17569.64802644778</v>
      </c>
      <c r="CQ52" s="34">
        <f t="shared" si="35"/>
        <v>1852.8921166820478</v>
      </c>
      <c r="CR52" s="34">
        <f t="shared" si="36"/>
        <v>5507.6499409596618</v>
      </c>
      <c r="CS52" s="34">
        <f t="shared" si="37"/>
        <v>9815.5205867348413</v>
      </c>
    </row>
    <row r="53" spans="1:97" x14ac:dyDescent="0.25">
      <c r="A53" s="42" t="s">
        <v>146</v>
      </c>
      <c r="B53" t="s">
        <v>147</v>
      </c>
      <c r="C53" s="51">
        <v>713913</v>
      </c>
      <c r="D53" s="36">
        <v>195.14400000000001</v>
      </c>
      <c r="E53" s="17">
        <f t="shared" si="56"/>
        <v>1.7731975967957281E-2</v>
      </c>
      <c r="F53" s="37">
        <f t="shared" si="53"/>
        <v>1.1718320829746238</v>
      </c>
      <c r="G53" s="18">
        <v>74.900000000000006</v>
      </c>
      <c r="H53" s="47">
        <v>118.8</v>
      </c>
      <c r="I53" s="47">
        <v>446.1</v>
      </c>
      <c r="J53" s="47">
        <v>2860.7</v>
      </c>
      <c r="K53" s="20"/>
      <c r="L53" s="47">
        <v>10.3</v>
      </c>
      <c r="M53" s="47">
        <v>1469</v>
      </c>
      <c r="N53" s="19">
        <v>8</v>
      </c>
      <c r="P53" s="21">
        <f t="shared" si="60"/>
        <v>4912.8999999999996</v>
      </c>
      <c r="Q53" s="20">
        <f t="shared" si="54"/>
        <v>86342.349999999991</v>
      </c>
      <c r="R53" s="47">
        <v>600.40000000000055</v>
      </c>
      <c r="S53" s="52">
        <v>17.8</v>
      </c>
      <c r="T53" s="22">
        <f t="shared" si="59"/>
        <v>5531.1</v>
      </c>
      <c r="U53" s="53">
        <f t="shared" si="1"/>
        <v>0.88823199725190272</v>
      </c>
      <c r="V53" s="24"/>
      <c r="W53" s="35">
        <v>875</v>
      </c>
      <c r="X53" s="24"/>
      <c r="Z53" s="26">
        <v>3514.7134999999998</v>
      </c>
      <c r="AA53" s="29">
        <v>861.24009999999998</v>
      </c>
      <c r="AB53" s="28">
        <f t="shared" si="39"/>
        <v>4375.9535999999998</v>
      </c>
      <c r="AC53" s="29">
        <v>766.21529999999996</v>
      </c>
      <c r="AD53" s="43">
        <v>875</v>
      </c>
      <c r="AE53" s="28">
        <f t="shared" si="2"/>
        <v>5142.1688999999997</v>
      </c>
      <c r="AF53" s="30"/>
      <c r="AG53" s="40">
        <f>461.0759--8.2</f>
        <v>469.27589999999998</v>
      </c>
      <c r="AH53" s="31">
        <f t="shared" si="40"/>
        <v>-80.344799999999282</v>
      </c>
      <c r="AI53" s="54">
        <f t="shared" si="41"/>
        <v>388.9311000000007</v>
      </c>
      <c r="AK53" s="32">
        <f t="shared" si="3"/>
        <v>4118.6540417640299</v>
      </c>
      <c r="AL53" s="32">
        <f t="shared" si="4"/>
        <v>1009.2287803242733</v>
      </c>
      <c r="AM53" s="32">
        <f t="shared" si="5"/>
        <v>897.87567100602621</v>
      </c>
      <c r="AN53" s="32">
        <f t="shared" si="42"/>
        <v>1025.3530726027959</v>
      </c>
      <c r="AO53" s="32">
        <f t="shared" si="6"/>
        <v>6481.5204341409426</v>
      </c>
      <c r="AP53" s="33">
        <f t="shared" si="7"/>
        <v>0</v>
      </c>
      <c r="AQ53" s="33">
        <f t="shared" si="43"/>
        <v>1025.3530726027959</v>
      </c>
      <c r="AS53" s="33">
        <f t="shared" si="8"/>
        <v>4923.1678089627167</v>
      </c>
      <c r="AT53" s="33">
        <f t="shared" si="9"/>
        <v>1206.365621581341</v>
      </c>
      <c r="AU53" s="33">
        <f t="shared" si="10"/>
        <v>1073.2614478234741</v>
      </c>
      <c r="AV53" s="33">
        <f t="shared" si="44"/>
        <v>1225.6395387112996</v>
      </c>
      <c r="AW53" s="33">
        <f t="shared" si="11"/>
        <v>7202.7948783675311</v>
      </c>
      <c r="AX53" s="33">
        <f t="shared" si="12"/>
        <v>7747.5826886469358</v>
      </c>
      <c r="AY53" s="33">
        <f t="shared" si="45"/>
        <v>0</v>
      </c>
      <c r="AZ53" s="33">
        <f t="shared" si="46"/>
        <v>1225.6395387112996</v>
      </c>
      <c r="BA53" s="38"/>
      <c r="BB53" s="32">
        <f t="shared" si="13"/>
        <v>5769.1259884103938</v>
      </c>
      <c r="BC53" s="32">
        <f t="shared" si="14"/>
        <v>1413.6579391666398</v>
      </c>
      <c r="BD53" s="32">
        <f t="shared" si="15"/>
        <v>1257.6821979793424</v>
      </c>
      <c r="BE53" s="32">
        <f t="shared" si="16"/>
        <v>9078.8659600552764</v>
      </c>
      <c r="BF53" s="32">
        <f t="shared" si="47"/>
        <v>1436.2437336241194</v>
      </c>
      <c r="BG53" s="32">
        <f t="shared" si="48"/>
        <v>9876.709859180497</v>
      </c>
      <c r="BH53" s="32">
        <f t="shared" si="17"/>
        <v>0</v>
      </c>
      <c r="BI53" s="32">
        <f t="shared" si="49"/>
        <v>1436.2437336241194</v>
      </c>
      <c r="BJ53" s="32">
        <f t="shared" si="55"/>
        <v>638.39983449889883</v>
      </c>
      <c r="BK53" s="32"/>
      <c r="BM53" s="34">
        <v>3006.9402999999998</v>
      </c>
      <c r="BN53" s="34">
        <v>109.2482</v>
      </c>
      <c r="BO53" s="35">
        <v>1335.35437</v>
      </c>
      <c r="BP53" s="34">
        <f t="shared" si="18"/>
        <v>9982.6428699999997</v>
      </c>
      <c r="BQ53" s="34">
        <f t="shared" si="51"/>
        <v>6521.6538</v>
      </c>
      <c r="BR53" s="34">
        <f t="shared" si="51"/>
        <v>970.48829999999998</v>
      </c>
      <c r="BS53" s="34">
        <f t="shared" si="52"/>
        <v>2101.5696699999999</v>
      </c>
      <c r="BU53" s="34">
        <f t="shared" si="19"/>
        <v>3523.6291151293399</v>
      </c>
      <c r="BV53" s="34">
        <f t="shared" si="20"/>
        <v>128.0205457672283</v>
      </c>
      <c r="BW53" s="35">
        <f t="shared" si="21"/>
        <v>1564.8110929063666</v>
      </c>
      <c r="BX53" s="34">
        <f t="shared" si="50"/>
        <v>1025.3530726027959</v>
      </c>
      <c r="BY53" s="34">
        <f t="shared" si="22"/>
        <v>11697.981187943877</v>
      </c>
      <c r="BZ53" s="44"/>
      <c r="CA53" s="34">
        <f t="shared" si="23"/>
        <v>4935.6561865792328</v>
      </c>
      <c r="CB53" s="35">
        <f t="shared" si="24"/>
        <v>179.32233446824515</v>
      </c>
      <c r="CC53" s="34">
        <f t="shared" si="25"/>
        <v>2191.8792526629527</v>
      </c>
      <c r="CD53" s="34">
        <f t="shared" si="26"/>
        <v>1436.2437336241194</v>
      </c>
      <c r="CE53" s="34">
        <f t="shared" si="27"/>
        <v>16385.723733765706</v>
      </c>
      <c r="CG53" s="34">
        <f t="shared" si="57"/>
        <v>10704.782174989627</v>
      </c>
      <c r="CH53" s="34">
        <f t="shared" si="57"/>
        <v>1592.980273634885</v>
      </c>
      <c r="CI53" s="34">
        <f t="shared" si="57"/>
        <v>3449.5614506422953</v>
      </c>
      <c r="CJ53" s="34">
        <f t="shared" si="29"/>
        <v>1436.2437336241194</v>
      </c>
      <c r="CK53" s="34">
        <f t="shared" si="30"/>
        <v>17821.967467389826</v>
      </c>
      <c r="CL53" s="34">
        <f t="shared" si="58"/>
        <v>15747.323899266807</v>
      </c>
      <c r="CM53" s="34">
        <f t="shared" si="32"/>
        <v>5870.6140400863096</v>
      </c>
      <c r="CO53" s="34">
        <f t="shared" si="33"/>
        <v>13982.996345493078</v>
      </c>
      <c r="CP53" s="34">
        <f t="shared" si="34"/>
        <v>15208.635884204377</v>
      </c>
      <c r="CQ53" s="34">
        <f t="shared" si="35"/>
        <v>1225.6395387112996</v>
      </c>
      <c r="CR53" s="34">
        <f t="shared" si="36"/>
        <v>5009.774118134841</v>
      </c>
      <c r="CS53" s="34">
        <f t="shared" si="37"/>
        <v>8428.4344170788318</v>
      </c>
    </row>
    <row r="54" spans="1:97" x14ac:dyDescent="0.25">
      <c r="A54" s="42" t="s">
        <v>148</v>
      </c>
      <c r="B54" t="s">
        <v>147</v>
      </c>
      <c r="C54" s="51">
        <v>722262</v>
      </c>
      <c r="D54" s="36">
        <v>201.42699999999999</v>
      </c>
      <c r="E54" s="17">
        <f t="shared" si="56"/>
        <v>3.2196736768745016E-2</v>
      </c>
      <c r="F54" s="37">
        <f t="shared" si="53"/>
        <v>1.1352797787784159</v>
      </c>
      <c r="G54" s="18">
        <v>94.49</v>
      </c>
      <c r="H54" s="47">
        <v>110.6</v>
      </c>
      <c r="I54" s="47">
        <v>542.1</v>
      </c>
      <c r="J54" s="47">
        <v>4543.2</v>
      </c>
      <c r="K54" s="47"/>
      <c r="L54" s="47">
        <v>9.6999999999999993</v>
      </c>
      <c r="M54" s="47">
        <v>1821.3</v>
      </c>
      <c r="N54" s="19">
        <v>22</v>
      </c>
      <c r="P54" s="21">
        <f t="shared" si="60"/>
        <v>7048.9</v>
      </c>
      <c r="Q54" s="20">
        <f t="shared" si="54"/>
        <v>93391.249999999985</v>
      </c>
      <c r="R54" s="47">
        <v>624</v>
      </c>
      <c r="S54" s="52">
        <v>21.4</v>
      </c>
      <c r="T54" s="22">
        <f t="shared" si="59"/>
        <v>7694.2999999999993</v>
      </c>
      <c r="U54" s="53">
        <f t="shared" si="1"/>
        <v>0.91611972499122729</v>
      </c>
      <c r="V54" s="24"/>
      <c r="W54" s="35">
        <v>858</v>
      </c>
      <c r="X54" s="24"/>
      <c r="Z54" s="26">
        <v>3793.4684000000002</v>
      </c>
      <c r="AA54" s="29">
        <v>1217.8525999999999</v>
      </c>
      <c r="AB54" s="28">
        <f t="shared" si="39"/>
        <v>5011.3209999999999</v>
      </c>
      <c r="AC54" s="29">
        <v>507.15640000000002</v>
      </c>
      <c r="AD54" s="43">
        <v>858</v>
      </c>
      <c r="AE54" s="28">
        <f t="shared" si="2"/>
        <v>5518.4773999999998</v>
      </c>
      <c r="AF54" s="30"/>
      <c r="AG54" s="40">
        <f>1972.6648-12.7906</f>
        <v>1959.8742</v>
      </c>
      <c r="AH54" s="31">
        <f t="shared" si="40"/>
        <v>215.94839999999954</v>
      </c>
      <c r="AI54" s="54">
        <f t="shared" si="41"/>
        <v>2175.8225999999995</v>
      </c>
      <c r="AK54" s="32">
        <f t="shared" si="3"/>
        <v>4306.6479659549113</v>
      </c>
      <c r="AL54" s="32">
        <f t="shared" si="4"/>
        <v>1382.6034303127185</v>
      </c>
      <c r="AM54" s="32">
        <f t="shared" si="5"/>
        <v>575.76440559805781</v>
      </c>
      <c r="AN54" s="32">
        <f t="shared" si="42"/>
        <v>974.0700501918808</v>
      </c>
      <c r="AO54" s="32">
        <f t="shared" si="6"/>
        <v>8735.1832018547648</v>
      </c>
      <c r="AP54" s="33">
        <f t="shared" si="7"/>
        <v>0</v>
      </c>
      <c r="AQ54" s="33">
        <f t="shared" si="43"/>
        <v>974.0700501918808</v>
      </c>
      <c r="AS54" s="33">
        <f t="shared" si="8"/>
        <v>5252.2054323777247</v>
      </c>
      <c r="AT54" s="33">
        <f t="shared" si="9"/>
        <v>1686.1645773971218</v>
      </c>
      <c r="AU54" s="33">
        <f t="shared" si="10"/>
        <v>702.17788004906811</v>
      </c>
      <c r="AV54" s="33">
        <f t="shared" si="44"/>
        <v>1187.9345722189455</v>
      </c>
      <c r="AW54" s="33">
        <f t="shared" si="11"/>
        <v>7640.5478898239144</v>
      </c>
      <c r="AX54" s="33">
        <f t="shared" si="12"/>
        <v>10653.059416112159</v>
      </c>
      <c r="AY54" s="33">
        <f t="shared" si="45"/>
        <v>0</v>
      </c>
      <c r="AZ54" s="33">
        <f t="shared" si="46"/>
        <v>1187.9345722189455</v>
      </c>
      <c r="BA54" s="38"/>
      <c r="BB54" s="32">
        <f t="shared" si="13"/>
        <v>5962.7226213685772</v>
      </c>
      <c r="BC54" s="32">
        <f t="shared" si="14"/>
        <v>1914.2685484114056</v>
      </c>
      <c r="BD54" s="32">
        <f t="shared" si="15"/>
        <v>797.16834832520306</v>
      </c>
      <c r="BE54" s="32">
        <f t="shared" si="16"/>
        <v>12094.202937237133</v>
      </c>
      <c r="BF54" s="32">
        <f t="shared" si="47"/>
        <v>1348.6380983519566</v>
      </c>
      <c r="BG54" s="32">
        <f t="shared" si="48"/>
        <v>10022.797616457141</v>
      </c>
      <c r="BH54" s="32">
        <f t="shared" si="17"/>
        <v>0</v>
      </c>
      <c r="BI54" s="32">
        <f t="shared" si="49"/>
        <v>1348.6380983519566</v>
      </c>
      <c r="BJ54" s="32">
        <f t="shared" si="55"/>
        <v>3420.0434191319482</v>
      </c>
      <c r="BK54" s="32"/>
      <c r="BM54" s="34">
        <v>3185.1832999999997</v>
      </c>
      <c r="BN54" s="34">
        <v>127.48139999999999</v>
      </c>
      <c r="BO54" s="35">
        <v>1205.9010290000001</v>
      </c>
      <c r="BP54" s="34">
        <f t="shared" si="18"/>
        <v>12212.865728999999</v>
      </c>
      <c r="BQ54" s="34">
        <f t="shared" si="51"/>
        <v>6978.6517000000003</v>
      </c>
      <c r="BR54" s="34">
        <f t="shared" si="51"/>
        <v>1345.3339999999998</v>
      </c>
      <c r="BS54" s="34">
        <f t="shared" si="52"/>
        <v>1713.0574290000002</v>
      </c>
      <c r="BU54" s="34">
        <f t="shared" si="19"/>
        <v>3616.0741921927042</v>
      </c>
      <c r="BV54" s="34">
        <f t="shared" si="20"/>
        <v>144.72705559036274</v>
      </c>
      <c r="BW54" s="35">
        <f t="shared" si="21"/>
        <v>1369.0350534317843</v>
      </c>
      <c r="BX54" s="34">
        <f t="shared" si="50"/>
        <v>974.0700501918808</v>
      </c>
      <c r="BY54" s="34">
        <f t="shared" si="22"/>
        <v>13865.019503069616</v>
      </c>
      <c r="BZ54" s="44"/>
      <c r="CA54" s="34">
        <f t="shared" si="23"/>
        <v>5006.5962105063045</v>
      </c>
      <c r="CB54" s="35">
        <f t="shared" si="24"/>
        <v>200.38027141170758</v>
      </c>
      <c r="CC54" s="34">
        <f t="shared" si="25"/>
        <v>1895.4825997100559</v>
      </c>
      <c r="CD54" s="34">
        <f t="shared" si="26"/>
        <v>1348.6380983519566</v>
      </c>
      <c r="CE54" s="34">
        <f t="shared" si="27"/>
        <v>19196.662018865198</v>
      </c>
      <c r="CG54" s="34">
        <f t="shared" si="57"/>
        <v>10969.318831874882</v>
      </c>
      <c r="CH54" s="34">
        <f t="shared" si="57"/>
        <v>2114.6488198231132</v>
      </c>
      <c r="CI54" s="34">
        <f t="shared" si="57"/>
        <v>2692.6509480352588</v>
      </c>
      <c r="CJ54" s="34">
        <f t="shared" si="29"/>
        <v>1348.6380983519566</v>
      </c>
      <c r="CK54" s="34">
        <f t="shared" si="30"/>
        <v>20545.300117217153</v>
      </c>
      <c r="CL54" s="34">
        <f t="shared" si="58"/>
        <v>15776.618599733254</v>
      </c>
      <c r="CM54" s="34">
        <f t="shared" si="32"/>
        <v>5753.8209832761131</v>
      </c>
      <c r="CO54" s="34">
        <f t="shared" si="33"/>
        <v>16909.190472432438</v>
      </c>
      <c r="CP54" s="34">
        <f t="shared" si="34"/>
        <v>18097.125044651384</v>
      </c>
      <c r="CQ54" s="34">
        <f t="shared" si="35"/>
        <v>1187.9345722189455</v>
      </c>
      <c r="CR54" s="34">
        <f t="shared" si="36"/>
        <v>5068.1964841013387</v>
      </c>
      <c r="CS54" s="34">
        <f t="shared" si="37"/>
        <v>8828.482462042859</v>
      </c>
    </row>
    <row r="55" spans="1:97" x14ac:dyDescent="0.25">
      <c r="A55" s="42" t="s">
        <v>149</v>
      </c>
      <c r="B55" t="s">
        <v>147</v>
      </c>
      <c r="C55" s="51">
        <v>730649</v>
      </c>
      <c r="D55" s="36">
        <v>205.916</v>
      </c>
      <c r="E55" s="17">
        <f t="shared" si="56"/>
        <v>2.2285989465166134E-2</v>
      </c>
      <c r="F55" s="37">
        <f t="shared" si="53"/>
        <v>1.1105305075856173</v>
      </c>
      <c r="G55" s="18">
        <v>112.65</v>
      </c>
      <c r="H55" s="47">
        <v>111.2</v>
      </c>
      <c r="I55" s="47">
        <v>568.79999999999995</v>
      </c>
      <c r="J55" s="47">
        <v>6136.7</v>
      </c>
      <c r="K55" s="20"/>
      <c r="L55" s="47">
        <v>9.4</v>
      </c>
      <c r="M55" s="47">
        <v>2022.8</v>
      </c>
      <c r="N55" s="19">
        <v>8.9</v>
      </c>
      <c r="P55" s="21">
        <f t="shared" si="60"/>
        <v>8857.7999999999993</v>
      </c>
      <c r="Q55" s="20">
        <f t="shared" si="54"/>
        <v>102249.04999999999</v>
      </c>
      <c r="R55" s="20">
        <v>627.40000000000146</v>
      </c>
      <c r="S55" s="52">
        <v>53.6</v>
      </c>
      <c r="T55" s="22">
        <f t="shared" si="59"/>
        <v>9538.8000000000011</v>
      </c>
      <c r="U55" s="53">
        <f t="shared" si="1"/>
        <v>0.92860737199647736</v>
      </c>
      <c r="V55" s="24"/>
      <c r="W55" s="35">
        <v>801</v>
      </c>
      <c r="X55" s="24"/>
      <c r="Z55" s="26">
        <v>4099.5464000000002</v>
      </c>
      <c r="AA55" s="29">
        <v>1242.9567</v>
      </c>
      <c r="AB55" s="28">
        <f>+Z55+AA55</f>
        <v>5342.5030999999999</v>
      </c>
      <c r="AC55" s="29">
        <v>1643.3779</v>
      </c>
      <c r="AD55" s="43">
        <v>801</v>
      </c>
      <c r="AE55" s="28">
        <f t="shared" si="2"/>
        <v>6985.8809999999994</v>
      </c>
      <c r="AF55" s="30"/>
      <c r="AG55" s="40">
        <f>2065.7533-22</f>
        <v>2043.7532999999999</v>
      </c>
      <c r="AH55" s="31">
        <f t="shared" si="40"/>
        <v>509.16570000000183</v>
      </c>
      <c r="AI55" s="54">
        <f t="shared" si="41"/>
        <v>2552.9190000000017</v>
      </c>
      <c r="AK55" s="32">
        <f t="shared" si="3"/>
        <v>4552.6713444627903</v>
      </c>
      <c r="AL55" s="32">
        <f t="shared" si="4"/>
        <v>1380.3413349579439</v>
      </c>
      <c r="AM55" s="32">
        <f t="shared" si="5"/>
        <v>1825.0212934419858</v>
      </c>
      <c r="AN55" s="32">
        <f t="shared" si="42"/>
        <v>889.53493657607953</v>
      </c>
      <c r="AO55" s="32">
        <f t="shared" si="6"/>
        <v>10593.128405757689</v>
      </c>
      <c r="AP55" s="33">
        <f t="shared" si="7"/>
        <v>0</v>
      </c>
      <c r="AQ55" s="33">
        <f t="shared" si="43"/>
        <v>889.53493657607953</v>
      </c>
      <c r="AS55" s="33">
        <f t="shared" si="8"/>
        <v>5610.8287289793052</v>
      </c>
      <c r="AT55" s="33">
        <f t="shared" si="9"/>
        <v>1701.1680026934957</v>
      </c>
      <c r="AU55" s="33">
        <f t="shared" si="10"/>
        <v>2249.2029688674043</v>
      </c>
      <c r="AV55" s="33">
        <f t="shared" si="44"/>
        <v>1096.2856309938152</v>
      </c>
      <c r="AW55" s="33">
        <f t="shared" si="11"/>
        <v>9561.1997005402045</v>
      </c>
      <c r="AX55" s="33">
        <f t="shared" si="12"/>
        <v>13055.242667819981</v>
      </c>
      <c r="AY55" s="33">
        <f t="shared" si="45"/>
        <v>0</v>
      </c>
      <c r="AZ55" s="33">
        <f t="shared" si="46"/>
        <v>1096.2856309938152</v>
      </c>
      <c r="BA55" s="38"/>
      <c r="BB55" s="32">
        <f t="shared" si="13"/>
        <v>6230.9964763693515</v>
      </c>
      <c r="BC55" s="32">
        <f t="shared" si="14"/>
        <v>1889.1989655196187</v>
      </c>
      <c r="BD55" s="32">
        <f t="shared" si="15"/>
        <v>2497.8085146793956</v>
      </c>
      <c r="BE55" s="32">
        <f t="shared" si="16"/>
        <v>14498.245266547534</v>
      </c>
      <c r="BF55" s="32">
        <f t="shared" si="47"/>
        <v>1217.4586382463804</v>
      </c>
      <c r="BG55" s="32">
        <f t="shared" si="48"/>
        <v>11835.462594814746</v>
      </c>
      <c r="BH55" s="32">
        <f t="shared" si="17"/>
        <v>0</v>
      </c>
      <c r="BI55" s="32">
        <f t="shared" si="49"/>
        <v>1217.4586382463804</v>
      </c>
      <c r="BJ55" s="32">
        <f t="shared" si="55"/>
        <v>3880.2413099791684</v>
      </c>
      <c r="BK55" s="32"/>
      <c r="BM55" s="34">
        <v>3087.9551000000001</v>
      </c>
      <c r="BN55" s="34">
        <v>113.17269999999999</v>
      </c>
      <c r="BO55" s="35">
        <v>1195.967744</v>
      </c>
      <c r="BP55" s="34">
        <f t="shared" si="18"/>
        <v>13935.895544000001</v>
      </c>
      <c r="BQ55" s="34">
        <f t="shared" si="51"/>
        <v>7187.5015000000003</v>
      </c>
      <c r="BR55" s="34">
        <f t="shared" si="51"/>
        <v>1356.1294</v>
      </c>
      <c r="BS55" s="34">
        <f t="shared" si="52"/>
        <v>2839.345644</v>
      </c>
      <c r="BU55" s="34">
        <f t="shared" si="19"/>
        <v>3429.2683446045958</v>
      </c>
      <c r="BV55" s="34">
        <f t="shared" si="20"/>
        <v>125.68173597583478</v>
      </c>
      <c r="BW55" s="35">
        <f t="shared" si="21"/>
        <v>1328.1586658003457</v>
      </c>
      <c r="BX55" s="34">
        <f t="shared" si="50"/>
        <v>889.53493657607953</v>
      </c>
      <c r="BY55" s="34">
        <f t="shared" si="22"/>
        <v>15476.237152138463</v>
      </c>
      <c r="BZ55" s="44"/>
      <c r="CA55" s="34">
        <f t="shared" si="23"/>
        <v>4693.4551947714917</v>
      </c>
      <c r="CB55" s="35">
        <f t="shared" si="24"/>
        <v>172.01383424302884</v>
      </c>
      <c r="CC55" s="34">
        <f t="shared" si="25"/>
        <v>1817.7793520559744</v>
      </c>
      <c r="CD55" s="34">
        <f t="shared" si="26"/>
        <v>1217.4586382463804</v>
      </c>
      <c r="CE55" s="34">
        <f t="shared" si="27"/>
        <v>21181.493647618026</v>
      </c>
      <c r="CG55" s="34">
        <f t="shared" si="57"/>
        <v>10924.451671140843</v>
      </c>
      <c r="CH55" s="34">
        <f t="shared" si="57"/>
        <v>2061.2127997626476</v>
      </c>
      <c r="CI55" s="34">
        <f t="shared" si="57"/>
        <v>4315.58786673537</v>
      </c>
      <c r="CJ55" s="34">
        <f t="shared" si="29"/>
        <v>1217.4586382463804</v>
      </c>
      <c r="CK55" s="34">
        <f t="shared" si="30"/>
        <v>22398.952285864405</v>
      </c>
      <c r="CL55" s="34">
        <f t="shared" si="58"/>
        <v>17301.252337638864</v>
      </c>
      <c r="CM55" s="34">
        <f t="shared" si="32"/>
        <v>5465.7897428241176</v>
      </c>
      <c r="CO55" s="34">
        <f t="shared" si="33"/>
        <v>19073.310911258348</v>
      </c>
      <c r="CP55" s="34">
        <f t="shared" si="34"/>
        <v>20169.596542252162</v>
      </c>
      <c r="CQ55" s="34">
        <f t="shared" si="35"/>
        <v>1096.2856309938152</v>
      </c>
      <c r="CR55" s="34">
        <f t="shared" si="36"/>
        <v>4921.7826124445555</v>
      </c>
      <c r="CS55" s="34">
        <f t="shared" si="37"/>
        <v>10657.485331534019</v>
      </c>
    </row>
    <row r="56" spans="1:97" x14ac:dyDescent="0.25">
      <c r="A56" s="42" t="s">
        <v>150</v>
      </c>
      <c r="B56" t="s">
        <v>147</v>
      </c>
      <c r="C56" s="51">
        <v>736077</v>
      </c>
      <c r="D56" s="36">
        <v>212.381</v>
      </c>
      <c r="E56" s="17">
        <f>+D56/D55-1</f>
        <v>3.1396297519376892E-2</v>
      </c>
      <c r="F56" s="37">
        <f t="shared" si="53"/>
        <v>1.0767253191198836</v>
      </c>
      <c r="G56" s="18">
        <v>107.57</v>
      </c>
      <c r="H56" s="47">
        <v>99.3</v>
      </c>
      <c r="I56" s="47">
        <v>434.6</v>
      </c>
      <c r="J56" s="47">
        <v>4042.5</v>
      </c>
      <c r="K56" s="20"/>
      <c r="L56" s="47">
        <v>7.8</v>
      </c>
      <c r="M56" s="47">
        <v>1748.4</v>
      </c>
      <c r="N56" s="19">
        <v>19.399999999999999</v>
      </c>
      <c r="O56" s="20"/>
      <c r="P56" s="21">
        <f t="shared" si="60"/>
        <v>6352</v>
      </c>
      <c r="Q56" s="20">
        <f>$Q55+P56</f>
        <v>108601.04999999999</v>
      </c>
      <c r="R56">
        <v>576.5</v>
      </c>
      <c r="S56" s="52">
        <v>55.4</v>
      </c>
      <c r="T56" s="22">
        <f t="shared" si="59"/>
        <v>6983.9</v>
      </c>
      <c r="U56" s="53">
        <f t="shared" si="1"/>
        <v>0.90952046850613555</v>
      </c>
      <c r="V56" s="24"/>
      <c r="W56" s="35">
        <v>605</v>
      </c>
      <c r="X56" s="24"/>
      <c r="Z56" s="29">
        <v>4322.6945999999998</v>
      </c>
      <c r="AA56" s="29">
        <v>1408.5308</v>
      </c>
      <c r="AB56" s="28">
        <f t="shared" si="39"/>
        <v>5731.2253999999994</v>
      </c>
      <c r="AC56" s="29">
        <v>2097.3737999999998</v>
      </c>
      <c r="AD56" s="43">
        <v>605</v>
      </c>
      <c r="AE56" s="28">
        <f>+AB56+AC56</f>
        <v>7828.5991999999987</v>
      </c>
      <c r="AF56" s="30"/>
      <c r="AG56" s="40">
        <f>143.7091-19</f>
        <v>124.70910000000001</v>
      </c>
      <c r="AH56" s="31">
        <f t="shared" si="40"/>
        <v>-969.40829999999914</v>
      </c>
      <c r="AI56" s="54">
        <f t="shared" si="41"/>
        <v>-844.69919999999911</v>
      </c>
      <c r="AK56" s="32">
        <f t="shared" si="3"/>
        <v>4654.3547226427972</v>
      </c>
      <c r="AL56" s="32">
        <f t="shared" si="4"/>
        <v>1516.6007751201848</v>
      </c>
      <c r="AM56" s="32">
        <f t="shared" si="5"/>
        <v>2258.2954741186827</v>
      </c>
      <c r="AN56" s="32">
        <f t="shared" si="42"/>
        <v>651.41881806752951</v>
      </c>
      <c r="AO56" s="32">
        <f t="shared" si="6"/>
        <v>7519.7419562013547</v>
      </c>
      <c r="AP56" s="33">
        <f t="shared" si="7"/>
        <v>0</v>
      </c>
      <c r="AQ56" s="33">
        <f t="shared" si="43"/>
        <v>651.41881806752951</v>
      </c>
      <c r="AS56" s="33">
        <f t="shared" si="8"/>
        <v>5872.611968584808</v>
      </c>
      <c r="AT56" s="33">
        <f t="shared" si="9"/>
        <v>1913.5644776293784</v>
      </c>
      <c r="AU56" s="33">
        <f t="shared" si="10"/>
        <v>2849.3945606234129</v>
      </c>
      <c r="AV56" s="33">
        <f t="shared" si="44"/>
        <v>821.92488014161563</v>
      </c>
      <c r="AW56" s="33">
        <f t="shared" si="11"/>
        <v>10635.571006837599</v>
      </c>
      <c r="AX56" s="33">
        <f t="shared" si="12"/>
        <v>9488.0019345802139</v>
      </c>
      <c r="AY56" s="33">
        <f t="shared" si="45"/>
        <v>0</v>
      </c>
      <c r="AZ56" s="33">
        <f t="shared" si="46"/>
        <v>821.92488014161563</v>
      </c>
      <c r="BA56" s="38"/>
      <c r="BB56" s="32">
        <f t="shared" si="13"/>
        <v>6323.1899959417251</v>
      </c>
      <c r="BC56" s="32">
        <f t="shared" si="14"/>
        <v>2060.3833228319659</v>
      </c>
      <c r="BD56" s="32">
        <f t="shared" si="15"/>
        <v>3068.0152675857048</v>
      </c>
      <c r="BE56" s="32">
        <f t="shared" si="16"/>
        <v>10215.971910820954</v>
      </c>
      <c r="BF56" s="32">
        <f t="shared" si="47"/>
        <v>884.98732886305311</v>
      </c>
      <c r="BG56" s="32">
        <f t="shared" si="48"/>
        <v>12336.575915222449</v>
      </c>
      <c r="BH56" s="32">
        <f t="shared" si="17"/>
        <v>0</v>
      </c>
      <c r="BI56" s="32">
        <f t="shared" si="49"/>
        <v>884.98732886305311</v>
      </c>
      <c r="BJ56" s="32">
        <f t="shared" si="55"/>
        <v>-1235.6166755384422</v>
      </c>
      <c r="BK56" s="32"/>
      <c r="BM56" s="34">
        <v>3117.2636000000002</v>
      </c>
      <c r="BN56" s="34">
        <v>105.32010000000001</v>
      </c>
      <c r="BO56" s="35">
        <v>1077.5456029999998</v>
      </c>
      <c r="BP56" s="34">
        <f t="shared" si="18"/>
        <v>11284.029302999999</v>
      </c>
      <c r="BQ56" s="34">
        <f t="shared" si="51"/>
        <v>7439.9582</v>
      </c>
      <c r="BR56" s="34">
        <f t="shared" si="51"/>
        <v>1513.8508999999999</v>
      </c>
      <c r="BS56" s="34">
        <f t="shared" si="52"/>
        <v>3174.9194029999999</v>
      </c>
      <c r="BU56" s="34">
        <f t="shared" si="19"/>
        <v>3356.4366444907973</v>
      </c>
      <c r="BV56" s="34">
        <f t="shared" si="20"/>
        <v>113.40081828223806</v>
      </c>
      <c r="BW56" s="35">
        <f t="shared" si="21"/>
        <v>1160.2206332564022</v>
      </c>
      <c r="BX56" s="34">
        <f t="shared" si="50"/>
        <v>651.41881806752951</v>
      </c>
      <c r="BY56" s="34">
        <f t="shared" si="22"/>
        <v>12149.800052230792</v>
      </c>
      <c r="BZ56" s="44"/>
      <c r="CA56" s="34">
        <f t="shared" si="23"/>
        <v>4559.8988210347525</v>
      </c>
      <c r="CB56" s="35">
        <f t="shared" si="24"/>
        <v>154.06108094973496</v>
      </c>
      <c r="CC56" s="34">
        <f t="shared" si="25"/>
        <v>1576.2218263257814</v>
      </c>
      <c r="CD56" s="34">
        <f t="shared" si="26"/>
        <v>884.98732886305311</v>
      </c>
      <c r="CE56" s="34">
        <f t="shared" si="27"/>
        <v>16506.153639131222</v>
      </c>
      <c r="CG56" s="34">
        <f t="shared" si="57"/>
        <v>10883.088816976477</v>
      </c>
      <c r="CH56" s="34">
        <f t="shared" si="57"/>
        <v>2214.4444037817007</v>
      </c>
      <c r="CI56" s="34">
        <f t="shared" si="57"/>
        <v>4644.2370939114862</v>
      </c>
      <c r="CJ56" s="34">
        <f t="shared" si="29"/>
        <v>884.98732886305311</v>
      </c>
      <c r="CK56" s="34">
        <f t="shared" si="30"/>
        <v>17391.140967994274</v>
      </c>
      <c r="CL56" s="34">
        <f t="shared" si="58"/>
        <v>17741.770314669666</v>
      </c>
      <c r="CM56" s="34">
        <f t="shared" si="32"/>
        <v>5405.1943994472167</v>
      </c>
      <c r="CO56" s="34">
        <f t="shared" si="33"/>
        <v>15329.957739475625</v>
      </c>
      <c r="CP56" s="34">
        <f t="shared" si="34"/>
        <v>16151.882619617239</v>
      </c>
      <c r="CQ56" s="34">
        <f t="shared" si="35"/>
        <v>821.92488014161563</v>
      </c>
      <c r="CR56" s="34">
        <f t="shared" si="36"/>
        <v>5020.0309247537971</v>
      </c>
      <c r="CS56" s="34">
        <f t="shared" si="37"/>
        <v>11457.495886979215</v>
      </c>
    </row>
    <row r="57" spans="1:97" x14ac:dyDescent="0.25">
      <c r="A57" s="42" t="s">
        <v>151</v>
      </c>
      <c r="B57" t="s">
        <v>147</v>
      </c>
      <c r="C57" s="51">
        <v>736416</v>
      </c>
      <c r="D57" s="36">
        <v>215.8</v>
      </c>
      <c r="E57" s="17">
        <f t="shared" si="56"/>
        <v>1.609842688376073E-2</v>
      </c>
      <c r="F57" s="37">
        <f t="shared" si="53"/>
        <v>1.0596663577386467</v>
      </c>
      <c r="G57" s="18">
        <v>107.57</v>
      </c>
      <c r="H57" s="47">
        <v>128.1</v>
      </c>
      <c r="I57" s="47">
        <v>307.60000000000002</v>
      </c>
      <c r="J57" s="47">
        <v>2605.9</v>
      </c>
      <c r="K57" s="20"/>
      <c r="L57" s="47">
        <v>8.8000000000000007</v>
      </c>
      <c r="M57" s="47">
        <v>1685</v>
      </c>
      <c r="N57" s="20">
        <v>27.4</v>
      </c>
      <c r="O57" s="20"/>
      <c r="P57" s="21">
        <f>SUM(H57:O57)</f>
        <v>4762.8</v>
      </c>
      <c r="Q57" s="20">
        <f>$Q56+P57</f>
        <v>113363.84999999999</v>
      </c>
      <c r="R57">
        <v>627.29999999999995</v>
      </c>
      <c r="S57" s="52">
        <v>34.9</v>
      </c>
      <c r="T57" s="22">
        <f t="shared" si="59"/>
        <v>5425</v>
      </c>
      <c r="U57" s="53">
        <f t="shared" si="1"/>
        <v>0.87793548387096776</v>
      </c>
      <c r="V57" s="24"/>
      <c r="W57" s="35">
        <v>604</v>
      </c>
      <c r="X57" s="24"/>
      <c r="Z57" s="29">
        <v>4409.0171</v>
      </c>
      <c r="AA57" s="29">
        <v>2083.8261000000002</v>
      </c>
      <c r="AB57" s="28">
        <f t="shared" si="39"/>
        <v>6492.8432000000003</v>
      </c>
      <c r="AC57" s="29">
        <v>880.38720000000001</v>
      </c>
      <c r="AD57" s="43">
        <v>604</v>
      </c>
      <c r="AE57" s="28">
        <f>+AB57+AC57</f>
        <v>7373.2304000000004</v>
      </c>
      <c r="AF57" s="30"/>
      <c r="AG57" s="40">
        <f>-282.4206-72.4675</f>
        <v>-354.88810000000001</v>
      </c>
      <c r="AH57" s="31">
        <f t="shared" si="40"/>
        <v>-1593.3423000000003</v>
      </c>
      <c r="AI57" s="54">
        <f>T57-AE57</f>
        <v>-1948.2304000000004</v>
      </c>
      <c r="AJ57" s="55"/>
      <c r="AK57" s="32">
        <f t="shared" si="3"/>
        <v>4672.0870915644109</v>
      </c>
      <c r="AL57" s="32">
        <f t="shared" si="4"/>
        <v>2208.1604135477291</v>
      </c>
      <c r="AM57" s="32">
        <f t="shared" si="5"/>
        <v>932.91669762372555</v>
      </c>
      <c r="AN57" s="32">
        <f t="shared" si="42"/>
        <v>640.03848007414263</v>
      </c>
      <c r="AO57" s="32">
        <f t="shared" si="6"/>
        <v>5748.6899907321585</v>
      </c>
      <c r="AP57" s="33">
        <f t="shared" si="7"/>
        <v>0</v>
      </c>
      <c r="AQ57" s="33">
        <f t="shared" si="43"/>
        <v>640.03848007414263</v>
      </c>
      <c r="AS57" s="33">
        <f t="shared" si="8"/>
        <v>5987.1283350714821</v>
      </c>
      <c r="AT57" s="33">
        <f t="shared" si="9"/>
        <v>2829.6860741754663</v>
      </c>
      <c r="AU57" s="33">
        <f t="shared" si="10"/>
        <v>1195.5025420414549</v>
      </c>
      <c r="AV57" s="33">
        <f t="shared" si="44"/>
        <v>820.18858905835827</v>
      </c>
      <c r="AW57" s="33">
        <f t="shared" si="11"/>
        <v>10012.316951288403</v>
      </c>
      <c r="AX57" s="33">
        <f t="shared" si="12"/>
        <v>7366.7600921218445</v>
      </c>
      <c r="AY57" s="33">
        <f t="shared" si="45"/>
        <v>0</v>
      </c>
      <c r="AZ57" s="33">
        <f t="shared" si="46"/>
        <v>820.18858905835839</v>
      </c>
      <c r="BA57" s="38"/>
      <c r="BB57" s="32">
        <f t="shared" si="13"/>
        <v>6344.3584761390457</v>
      </c>
      <c r="BC57" s="32">
        <f t="shared" si="14"/>
        <v>2998.5231357652865</v>
      </c>
      <c r="BD57" s="32">
        <f t="shared" si="15"/>
        <v>1266.833824392362</v>
      </c>
      <c r="BE57" s="32">
        <f t="shared" si="16"/>
        <v>7806.3078351531731</v>
      </c>
      <c r="BF57" s="32">
        <f t="shared" si="47"/>
        <v>869.12625482627027</v>
      </c>
      <c r="BG57" s="32">
        <f t="shared" si="48"/>
        <v>11478.841691122965</v>
      </c>
      <c r="BH57" s="32">
        <f t="shared" si="17"/>
        <v>0</v>
      </c>
      <c r="BI57" s="32">
        <f t="shared" si="49"/>
        <v>869.12625482627027</v>
      </c>
      <c r="BJ57" s="32">
        <f t="shared" si="55"/>
        <v>-2803.4076011435218</v>
      </c>
      <c r="BK57" s="32"/>
      <c r="BM57" s="34">
        <v>3154.6997000000001</v>
      </c>
      <c r="BN57" s="34">
        <v>146.1807</v>
      </c>
      <c r="BO57" s="35">
        <v>1112.4898680000001</v>
      </c>
      <c r="BP57" s="34">
        <f t="shared" si="18"/>
        <v>9838.3702680000006</v>
      </c>
      <c r="BQ57" s="34">
        <f t="shared" si="51"/>
        <v>7563.7168000000001</v>
      </c>
      <c r="BR57" s="34">
        <f t="shared" si="51"/>
        <v>2230.0068000000001</v>
      </c>
      <c r="BS57" s="34">
        <f t="shared" si="52"/>
        <v>1992.8770680000002</v>
      </c>
      <c r="BU57" s="34">
        <f t="shared" si="19"/>
        <v>3342.9291408582017</v>
      </c>
      <c r="BV57" s="34">
        <f t="shared" si="20"/>
        <v>154.9027699406858</v>
      </c>
      <c r="BW57" s="35">
        <f t="shared" si="21"/>
        <v>1178.8680864447081</v>
      </c>
      <c r="BX57" s="34">
        <f t="shared" si="50"/>
        <v>640.03848007414263</v>
      </c>
      <c r="BY57" s="34">
        <f t="shared" si="22"/>
        <v>10425.389987975754</v>
      </c>
      <c r="BZ57" s="44"/>
      <c r="CA57" s="34">
        <f t="shared" si="23"/>
        <v>4539.4575088784086</v>
      </c>
      <c r="CB57" s="35">
        <f t="shared" si="24"/>
        <v>210.34682834252081</v>
      </c>
      <c r="CC57" s="34">
        <f t="shared" si="25"/>
        <v>1600.818133289755</v>
      </c>
      <c r="CD57" s="34">
        <f t="shared" si="26"/>
        <v>869.12625482627027</v>
      </c>
      <c r="CE57" s="34">
        <f t="shared" si="27"/>
        <v>14156.930305663856</v>
      </c>
      <c r="CG57" s="34">
        <f t="shared" si="57"/>
        <v>10883.815985017454</v>
      </c>
      <c r="CH57" s="34">
        <f t="shared" si="57"/>
        <v>3208.8699641078074</v>
      </c>
      <c r="CI57" s="34">
        <f t="shared" si="57"/>
        <v>2867.651957682117</v>
      </c>
      <c r="CJ57" s="34">
        <f t="shared" si="29"/>
        <v>869.12625482627027</v>
      </c>
      <c r="CK57" s="34">
        <f t="shared" si="30"/>
        <v>15026.056560490128</v>
      </c>
      <c r="CL57" s="34">
        <f t="shared" si="58"/>
        <v>16960.337906807377</v>
      </c>
      <c r="CM57" s="34">
        <f t="shared" si="32"/>
        <v>5481.4962156844122</v>
      </c>
      <c r="CO57" s="34">
        <f t="shared" si="33"/>
        <v>13359.799716464608</v>
      </c>
      <c r="CP57" s="34">
        <f t="shared" si="34"/>
        <v>14179.988305522967</v>
      </c>
      <c r="CQ57" s="34">
        <f t="shared" si="35"/>
        <v>820.18858905835839</v>
      </c>
      <c r="CR57" s="34">
        <f t="shared" si="36"/>
        <v>5172.8510352844041</v>
      </c>
      <c r="CS57" s="34">
        <f t="shared" si="37"/>
        <v>10832.505540346763</v>
      </c>
    </row>
    <row r="58" spans="1:97" x14ac:dyDescent="0.25">
      <c r="A58" s="42" t="s">
        <v>152</v>
      </c>
      <c r="B58" t="s">
        <v>147</v>
      </c>
      <c r="C58" s="51">
        <v>736989</v>
      </c>
      <c r="D58" s="36">
        <v>216.9</v>
      </c>
      <c r="E58" s="17">
        <f t="shared" si="56"/>
        <v>5.0973123262278985E-3</v>
      </c>
      <c r="F58" s="37">
        <f t="shared" si="53"/>
        <v>1.0542923005993545</v>
      </c>
      <c r="G58" s="18">
        <v>72.58</v>
      </c>
      <c r="H58" s="47">
        <v>125.2</v>
      </c>
      <c r="I58" s="47">
        <v>94.8</v>
      </c>
      <c r="J58" s="47">
        <v>381.6</v>
      </c>
      <c r="K58" s="20"/>
      <c r="L58" s="47">
        <v>8.1</v>
      </c>
      <c r="M58" s="47">
        <v>1052</v>
      </c>
      <c r="N58" s="20">
        <v>26.1</v>
      </c>
      <c r="O58" s="20"/>
      <c r="P58" s="21">
        <f t="shared" si="60"/>
        <v>1687.8</v>
      </c>
      <c r="Q58" s="20">
        <f t="shared" ref="Q58" si="61">$Q57+P58</f>
        <v>115051.65</v>
      </c>
      <c r="R58" s="19">
        <v>568.4</v>
      </c>
      <c r="S58" s="56">
        <v>71.099999999999994</v>
      </c>
      <c r="T58" s="22">
        <f t="shared" si="59"/>
        <v>2327.2999999999997</v>
      </c>
      <c r="U58" s="53">
        <f t="shared" si="1"/>
        <v>0.72521806385081433</v>
      </c>
      <c r="V58" s="24"/>
      <c r="W58" s="35">
        <v>1235</v>
      </c>
      <c r="X58" s="24"/>
      <c r="Z58" s="29">
        <v>4523.2361000000001</v>
      </c>
      <c r="AA58" s="29">
        <f>3964.1867-AF58</f>
        <v>1667.0840000000003</v>
      </c>
      <c r="AB58" s="28">
        <f t="shared" si="39"/>
        <v>6190.3201000000008</v>
      </c>
      <c r="AC58" s="29">
        <v>611.37819999999999</v>
      </c>
      <c r="AD58" s="43">
        <v>1235</v>
      </c>
      <c r="AE58" s="28">
        <f t="shared" si="2"/>
        <v>6801.6983000000009</v>
      </c>
      <c r="AF58" s="54">
        <v>2297.1026999999999</v>
      </c>
      <c r="AG58" s="57">
        <f>-4025.2659--3000-23</f>
        <v>-1048.2658999999999</v>
      </c>
      <c r="AH58" s="31">
        <f t="shared" si="40"/>
        <v>-5723.2350999999999</v>
      </c>
      <c r="AI58" s="54">
        <f>T58-AE58-AF58</f>
        <v>-6771.5010000000002</v>
      </c>
      <c r="AJ58" s="58"/>
      <c r="AK58" s="32">
        <f t="shared" si="3"/>
        <v>4768.8129940230519</v>
      </c>
      <c r="AL58" s="32">
        <f t="shared" si="4"/>
        <v>1757.5938256523746</v>
      </c>
      <c r="AM58" s="32">
        <f t="shared" si="5"/>
        <v>644.57132901429225</v>
      </c>
      <c r="AN58" s="32">
        <f t="shared" si="42"/>
        <v>1302.0509912402028</v>
      </c>
      <c r="AO58" s="32">
        <f t="shared" si="6"/>
        <v>2453.6544711848774</v>
      </c>
      <c r="AP58" s="33">
        <f t="shared" si="7"/>
        <v>0</v>
      </c>
      <c r="AQ58" s="33">
        <f t="shared" si="43"/>
        <v>1302.0509912402028</v>
      </c>
      <c r="AS58" s="33">
        <f t="shared" si="8"/>
        <v>6137.4540189880718</v>
      </c>
      <c r="AT58" s="33">
        <f t="shared" si="9"/>
        <v>2262.0201929743866</v>
      </c>
      <c r="AU58" s="33">
        <f t="shared" si="10"/>
        <v>829.56217799722924</v>
      </c>
      <c r="AV58" s="33">
        <f t="shared" si="44"/>
        <v>1675.7373583594872</v>
      </c>
      <c r="AW58" s="33">
        <f t="shared" si="11"/>
        <v>9229.0363899596887</v>
      </c>
      <c r="AX58" s="33">
        <f t="shared" si="12"/>
        <v>3157.8490316680436</v>
      </c>
      <c r="AY58" s="33">
        <f t="shared" si="45"/>
        <v>0</v>
      </c>
      <c r="AZ58" s="33">
        <f t="shared" si="46"/>
        <v>1675.737358359487</v>
      </c>
      <c r="BA58" s="38"/>
      <c r="BB58" s="32">
        <f t="shared" si="13"/>
        <v>6470.6705175016887</v>
      </c>
      <c r="BC58" s="32">
        <f t="shared" si="14"/>
        <v>2384.8304732531619</v>
      </c>
      <c r="BD58" s="32">
        <f t="shared" si="15"/>
        <v>874.60101713091001</v>
      </c>
      <c r="BE58" s="32">
        <f t="shared" si="16"/>
        <v>3329.2959205427455</v>
      </c>
      <c r="BF58" s="32">
        <f t="shared" si="47"/>
        <v>1766.7169947451087</v>
      </c>
      <c r="BG58" s="32">
        <f t="shared" si="48"/>
        <v>11496.819002630869</v>
      </c>
      <c r="BH58" s="32">
        <f t="shared" si="17"/>
        <v>0</v>
      </c>
      <c r="BI58" s="32">
        <f t="shared" si="49"/>
        <v>1766.7169947451087</v>
      </c>
      <c r="BJ58" s="32">
        <f>BE58-BG58+BH58+BI58-BK58</f>
        <v>-9686.9035600271254</v>
      </c>
      <c r="BK58" s="32">
        <f>AF58*F58/C58*1000000</f>
        <v>3286.0974726841091</v>
      </c>
      <c r="BM58" s="34">
        <v>3245.0786000000003</v>
      </c>
      <c r="BN58" s="34">
        <v>102.989</v>
      </c>
      <c r="BO58" s="35">
        <v>1310.8675719999999</v>
      </c>
      <c r="BP58" s="34">
        <f t="shared" si="18"/>
        <v>6986.2351720000006</v>
      </c>
      <c r="BQ58" s="34">
        <f t="shared" si="51"/>
        <v>7768.3147000000008</v>
      </c>
      <c r="BR58" s="34">
        <f t="shared" si="51"/>
        <v>1770.0730000000003</v>
      </c>
      <c r="BS58" s="34">
        <f t="shared" si="52"/>
        <v>1922.2457719999998</v>
      </c>
      <c r="BU58" s="34">
        <f t="shared" si="19"/>
        <v>3421.2613828197327</v>
      </c>
      <c r="BV58" s="34">
        <f t="shared" si="20"/>
        <v>108.58050974642693</v>
      </c>
      <c r="BW58" s="35">
        <f t="shared" si="21"/>
        <v>1382.0375882649698</v>
      </c>
      <c r="BX58" s="34">
        <f t="shared" si="50"/>
        <v>1302.0509912402028</v>
      </c>
      <c r="BY58" s="34">
        <f t="shared" si="22"/>
        <v>7365.5339520160078</v>
      </c>
      <c r="BZ58" s="44"/>
      <c r="CA58" s="34">
        <f t="shared" si="23"/>
        <v>4642.2149893956803</v>
      </c>
      <c r="CB58" s="35">
        <f t="shared" si="24"/>
        <v>147.32989196097489</v>
      </c>
      <c r="CC58" s="34">
        <f t="shared" si="25"/>
        <v>1875.248597014297</v>
      </c>
      <c r="CD58" s="34">
        <f t="shared" si="26"/>
        <v>1766.7169947451087</v>
      </c>
      <c r="CE58" s="34">
        <f t="shared" si="27"/>
        <v>9994.0893989136985</v>
      </c>
      <c r="CG58" s="34">
        <f t="shared" si="57"/>
        <v>11112.885506897368</v>
      </c>
      <c r="CH58" s="34">
        <f t="shared" si="57"/>
        <v>2532.1603652141366</v>
      </c>
      <c r="CI58" s="34">
        <f t="shared" si="57"/>
        <v>2749.8496141452069</v>
      </c>
      <c r="CJ58" s="34">
        <f t="shared" si="29"/>
        <v>1766.7169947451087</v>
      </c>
      <c r="CK58" s="34">
        <f t="shared" si="30"/>
        <v>11760.806393658808</v>
      </c>
      <c r="CL58" s="34">
        <f t="shared" si="58"/>
        <v>16394.895486256712</v>
      </c>
      <c r="CM58" s="34">
        <f t="shared" si="32"/>
        <v>4898.0764836258422</v>
      </c>
      <c r="CO58" s="34">
        <f t="shared" si="33"/>
        <v>9479.4293700448725</v>
      </c>
      <c r="CP58" s="34">
        <f t="shared" si="34"/>
        <v>11155.16672840436</v>
      </c>
      <c r="CQ58" s="34">
        <f t="shared" si="35"/>
        <v>1675.737358359487</v>
      </c>
      <c r="CR58" s="34">
        <f t="shared" si="36"/>
        <v>4645.8429800173399</v>
      </c>
      <c r="CS58" s="34">
        <f t="shared" si="37"/>
        <v>10904.773748319174</v>
      </c>
    </row>
    <row r="59" spans="1:97" x14ac:dyDescent="0.25">
      <c r="A59" s="42" t="s">
        <v>153</v>
      </c>
      <c r="B59" t="s">
        <v>154</v>
      </c>
      <c r="C59" s="51">
        <v>739649</v>
      </c>
      <c r="D59" s="36">
        <v>217.83</v>
      </c>
      <c r="E59" s="17">
        <f t="shared" si="56"/>
        <v>4.2876901798063471E-3</v>
      </c>
      <c r="F59" s="37">
        <f t="shared" si="53"/>
        <v>1.049791121516779</v>
      </c>
      <c r="G59" s="18">
        <v>43.18</v>
      </c>
      <c r="H59" s="47">
        <v>111.7</v>
      </c>
      <c r="I59" s="47">
        <v>-58.8</v>
      </c>
      <c r="J59" s="47">
        <v>176.8</v>
      </c>
      <c r="K59" s="20"/>
      <c r="L59" s="47">
        <v>9.1999999999999993</v>
      </c>
      <c r="M59" s="47">
        <v>840.3</v>
      </c>
      <c r="N59" s="20">
        <v>30.3</v>
      </c>
      <c r="O59" s="20"/>
      <c r="P59" s="21">
        <f t="shared" si="60"/>
        <v>1109.5</v>
      </c>
      <c r="Q59" s="20">
        <f>$Q58+P59</f>
        <v>116161.15</v>
      </c>
      <c r="R59" s="19">
        <f>1532.7-P59</f>
        <v>423.20000000000005</v>
      </c>
      <c r="S59" s="56">
        <v>16.5</v>
      </c>
      <c r="T59" s="22">
        <f t="shared" si="59"/>
        <v>1549.2</v>
      </c>
      <c r="U59" s="53">
        <f t="shared" si="1"/>
        <v>0.7161760908856184</v>
      </c>
      <c r="V59" s="24"/>
      <c r="W59" s="35">
        <v>1373</v>
      </c>
      <c r="X59" s="24"/>
      <c r="Z59" s="29">
        <v>4200.4943999999996</v>
      </c>
      <c r="AA59" s="29">
        <v>1178.9740999999999</v>
      </c>
      <c r="AB59" s="28">
        <f t="shared" si="39"/>
        <v>5379.468499999999</v>
      </c>
      <c r="AC59" s="29">
        <v>129.79409999999999</v>
      </c>
      <c r="AD59" s="43">
        <v>1373</v>
      </c>
      <c r="AE59" s="28">
        <f t="shared" si="2"/>
        <v>5509.2625999999991</v>
      </c>
      <c r="AF59" s="30"/>
      <c r="AG59" s="40">
        <f>-243.6288-21</f>
        <v>-264.62880000000001</v>
      </c>
      <c r="AH59" s="31">
        <f>T59-AE59-AG59</f>
        <v>-3695.4337999999993</v>
      </c>
      <c r="AI59" s="54">
        <f>T59-AE59</f>
        <v>-3960.0625999999993</v>
      </c>
      <c r="AJ59" s="58"/>
      <c r="AK59" s="32">
        <f t="shared" si="3"/>
        <v>4409.6417271009495</v>
      </c>
      <c r="AL59" s="32">
        <f t="shared" si="4"/>
        <v>1237.6765426782351</v>
      </c>
      <c r="AM59" s="32">
        <f t="shared" si="5"/>
        <v>136.25669380526094</v>
      </c>
      <c r="AN59" s="32">
        <f t="shared" si="42"/>
        <v>1441.3632098425376</v>
      </c>
      <c r="AO59" s="32">
        <f t="shared" si="6"/>
        <v>1626.336405453794</v>
      </c>
      <c r="AP59" s="33">
        <f t="shared" si="7"/>
        <v>0</v>
      </c>
      <c r="AQ59" s="33">
        <f t="shared" si="43"/>
        <v>1441.3632098425376</v>
      </c>
      <c r="AS59" s="33">
        <f t="shared" si="8"/>
        <v>5679.0374894037568</v>
      </c>
      <c r="AT59" s="33">
        <f t="shared" si="9"/>
        <v>1593.9642992824974</v>
      </c>
      <c r="AU59" s="33">
        <f t="shared" si="10"/>
        <v>175.48066718132517</v>
      </c>
      <c r="AV59" s="33">
        <f t="shared" si="44"/>
        <v>1856.2858869544878</v>
      </c>
      <c r="AW59" s="33">
        <f t="shared" si="11"/>
        <v>7448.4824558675791</v>
      </c>
      <c r="AX59" s="33">
        <f t="shared" si="12"/>
        <v>2094.5069891259232</v>
      </c>
      <c r="AY59" s="33">
        <f t="shared" si="45"/>
        <v>0</v>
      </c>
      <c r="AZ59" s="33">
        <f t="shared" si="46"/>
        <v>1856.285886954488</v>
      </c>
      <c r="BA59" s="38"/>
      <c r="BB59" s="32">
        <f t="shared" si="13"/>
        <v>5961.8031351370037</v>
      </c>
      <c r="BC59" s="32">
        <f t="shared" si="14"/>
        <v>1673.3295694014798</v>
      </c>
      <c r="BD59" s="32">
        <f t="shared" si="15"/>
        <v>184.21804640479598</v>
      </c>
      <c r="BE59" s="32">
        <f t="shared" si="16"/>
        <v>2198.7948411392349</v>
      </c>
      <c r="BF59" s="32">
        <f t="shared" si="47"/>
        <v>1948.7124431217208</v>
      </c>
      <c r="BG59" s="32">
        <f t="shared" si="48"/>
        <v>9768.0631940650001</v>
      </c>
      <c r="BH59" s="32">
        <f t="shared" si="17"/>
        <v>0</v>
      </c>
      <c r="BI59" s="32">
        <f t="shared" si="49"/>
        <v>1948.7124431217208</v>
      </c>
      <c r="BJ59" s="32">
        <f t="shared" si="55"/>
        <v>-5620.5559098040439</v>
      </c>
      <c r="BK59" s="32"/>
      <c r="BM59" s="34">
        <v>3514.0414999999998</v>
      </c>
      <c r="BN59" s="34">
        <v>107.51960000000001</v>
      </c>
      <c r="BO59" s="35">
        <v>1373.9003989999999</v>
      </c>
      <c r="BP59" s="34">
        <f t="shared" si="18"/>
        <v>6544.6614989999998</v>
      </c>
      <c r="BQ59" s="34">
        <f t="shared" si="51"/>
        <v>7714.5358999999989</v>
      </c>
      <c r="BR59" s="34">
        <f t="shared" si="51"/>
        <v>1286.4937</v>
      </c>
      <c r="BS59" s="34">
        <f t="shared" si="52"/>
        <v>1503.694499</v>
      </c>
      <c r="BU59" s="34">
        <f t="shared" si="19"/>
        <v>3689.009567341504</v>
      </c>
      <c r="BV59" s="34">
        <f t="shared" si="20"/>
        <v>112.87312146903548</v>
      </c>
      <c r="BW59" s="35">
        <f t="shared" si="21"/>
        <v>1442.30844071856</v>
      </c>
      <c r="BX59" s="34">
        <f t="shared" si="50"/>
        <v>1441.3632098425376</v>
      </c>
      <c r="BY59" s="34">
        <f t="shared" si="22"/>
        <v>6870.5275349828935</v>
      </c>
      <c r="BZ59" s="44"/>
      <c r="CA59" s="34">
        <f t="shared" si="23"/>
        <v>4987.5137630707322</v>
      </c>
      <c r="CB59" s="35">
        <f t="shared" si="24"/>
        <v>152.60362884156604</v>
      </c>
      <c r="CC59" s="34">
        <f t="shared" si="25"/>
        <v>1949.9903883038576</v>
      </c>
      <c r="CD59" s="34">
        <f t="shared" si="26"/>
        <v>1948.7124431217208</v>
      </c>
      <c r="CE59" s="34">
        <f t="shared" si="27"/>
        <v>9288.9026213553916</v>
      </c>
      <c r="CG59" s="34">
        <f t="shared" si="57"/>
        <v>10949.316898207737</v>
      </c>
      <c r="CH59" s="34">
        <f t="shared" si="57"/>
        <v>1825.9331982430458</v>
      </c>
      <c r="CI59" s="34">
        <f t="shared" si="57"/>
        <v>2134.2084347086534</v>
      </c>
      <c r="CJ59" s="34">
        <f t="shared" si="29"/>
        <v>1948.7124431217208</v>
      </c>
      <c r="CK59" s="34">
        <f t="shared" si="30"/>
        <v>11237.615064477111</v>
      </c>
      <c r="CL59" s="34">
        <f t="shared" si="58"/>
        <v>14909.458531159435</v>
      </c>
      <c r="CM59" s="34">
        <f t="shared" si="32"/>
        <v>5141.3953370944346</v>
      </c>
      <c r="CO59" s="34">
        <f t="shared" si="33"/>
        <v>8848.3341409236</v>
      </c>
      <c r="CP59" s="34">
        <f t="shared" si="34"/>
        <v>10704.620027878087</v>
      </c>
      <c r="CQ59" s="34">
        <f t="shared" si="35"/>
        <v>1856.285886954488</v>
      </c>
      <c r="CR59" s="34">
        <f t="shared" si="36"/>
        <v>4897.5412648431875</v>
      </c>
      <c r="CS59" s="34">
        <f t="shared" si="37"/>
        <v>9304.768342822068</v>
      </c>
    </row>
    <row r="60" spans="1:97" x14ac:dyDescent="0.25">
      <c r="A60" s="42" t="s">
        <v>155</v>
      </c>
      <c r="B60" t="s">
        <v>154</v>
      </c>
      <c r="C60" s="51">
        <v>737783</v>
      </c>
      <c r="D60" s="36">
        <v>218.87299999999999</v>
      </c>
      <c r="E60" s="17">
        <f>+D60/D59-1</f>
        <v>4.7881375384473124E-3</v>
      </c>
      <c r="F60" s="37">
        <f t="shared" si="53"/>
        <v>1.0447885303349431</v>
      </c>
      <c r="G60" s="59">
        <v>49.43</v>
      </c>
      <c r="H60" s="47">
        <v>120.4</v>
      </c>
      <c r="I60" s="47">
        <v>-59.4</v>
      </c>
      <c r="J60" s="47">
        <v>125.9</v>
      </c>
      <c r="K60" s="47"/>
      <c r="L60" s="47">
        <v>8.6</v>
      </c>
      <c r="M60" s="47">
        <v>676.2</v>
      </c>
      <c r="N60" s="47">
        <v>5.3</v>
      </c>
      <c r="O60" s="47"/>
      <c r="P60" s="21">
        <f t="shared" si="60"/>
        <v>877</v>
      </c>
      <c r="Q60" s="47">
        <f>$Q59+P60</f>
        <v>117038.15</v>
      </c>
      <c r="R60" s="19">
        <v>477.7</v>
      </c>
      <c r="S60" s="56">
        <v>36.9</v>
      </c>
      <c r="T60" s="22">
        <f t="shared" si="59"/>
        <v>1391.6000000000001</v>
      </c>
      <c r="U60" s="53">
        <f t="shared" si="1"/>
        <v>0.63020983041103762</v>
      </c>
      <c r="V60" s="24"/>
      <c r="W60" s="35">
        <v>695.65</v>
      </c>
      <c r="X60" s="24"/>
      <c r="Z60" s="29">
        <v>3972.4881</v>
      </c>
      <c r="AA60" s="29">
        <v>430.4203</v>
      </c>
      <c r="AB60" s="28">
        <f t="shared" si="39"/>
        <v>4402.9084000000003</v>
      </c>
      <c r="AC60" s="29">
        <v>107.426</v>
      </c>
      <c r="AD60" s="43">
        <v>695.65</v>
      </c>
      <c r="AE60" s="28">
        <f>+AB60+AC60</f>
        <v>4510.3344000000006</v>
      </c>
      <c r="AF60" s="30"/>
      <c r="AG60" s="39">
        <v>66.084900000000005</v>
      </c>
      <c r="AH60" s="31">
        <f>T60-AE60-AG60</f>
        <v>-3184.8193000000001</v>
      </c>
      <c r="AI60" s="54">
        <f>T60-AE60</f>
        <v>-3118.7344000000003</v>
      </c>
      <c r="AJ60" s="60"/>
      <c r="AK60" s="32">
        <f t="shared" si="3"/>
        <v>4150.4100037720509</v>
      </c>
      <c r="AL60" s="32">
        <f t="shared" si="4"/>
        <v>449.6981926633253</v>
      </c>
      <c r="AM60" s="32">
        <f t="shared" si="5"/>
        <v>112.2374526597616</v>
      </c>
      <c r="AN60" s="32">
        <f t="shared" si="42"/>
        <v>726.8071411275032</v>
      </c>
      <c r="AO60" s="32">
        <f t="shared" si="6"/>
        <v>1453.927718814107</v>
      </c>
      <c r="AP60" s="33">
        <f t="shared" si="7"/>
        <v>0</v>
      </c>
      <c r="AQ60" s="33">
        <f t="shared" si="43"/>
        <v>726.8071411275032</v>
      </c>
      <c r="AS60" s="33">
        <f t="shared" si="8"/>
        <v>5384.3584089088527</v>
      </c>
      <c r="AT60" s="33">
        <f t="shared" si="9"/>
        <v>583.39687957028013</v>
      </c>
      <c r="AU60" s="33">
        <f t="shared" si="10"/>
        <v>145.60649947206699</v>
      </c>
      <c r="AV60" s="33">
        <f t="shared" si="44"/>
        <v>942.89242229761317</v>
      </c>
      <c r="AW60" s="33">
        <f t="shared" si="11"/>
        <v>6113.3617879512003</v>
      </c>
      <c r="AX60" s="33">
        <f t="shared" si="12"/>
        <v>1886.1914682230415</v>
      </c>
      <c r="AY60" s="33">
        <f t="shared" si="45"/>
        <v>0</v>
      </c>
      <c r="AZ60" s="33">
        <f t="shared" si="46"/>
        <v>942.89242229761328</v>
      </c>
      <c r="BA60" s="38"/>
      <c r="BB60" s="32">
        <f t="shared" si="13"/>
        <v>5625.5159088404735</v>
      </c>
      <c r="BC60" s="32">
        <f t="shared" si="14"/>
        <v>609.52636840822481</v>
      </c>
      <c r="BD60" s="32">
        <f t="shared" si="15"/>
        <v>152.12800059063656</v>
      </c>
      <c r="BE60" s="32">
        <f t="shared" si="16"/>
        <v>1970.6712120150601</v>
      </c>
      <c r="BF60" s="32">
        <f t="shared" si="47"/>
        <v>985.12318815627793</v>
      </c>
      <c r="BG60" s="32">
        <f t="shared" si="48"/>
        <v>7372.2934659956127</v>
      </c>
      <c r="BH60" s="32">
        <f t="shared" si="17"/>
        <v>0</v>
      </c>
      <c r="BI60" s="32">
        <f t="shared" si="49"/>
        <v>985.12318815627793</v>
      </c>
      <c r="BJ60" s="32">
        <f t="shared" si="55"/>
        <v>-4416.499065824275</v>
      </c>
      <c r="BK60" s="32"/>
      <c r="BM60" s="34">
        <v>3859.5598</v>
      </c>
      <c r="BN60" s="34">
        <v>266.01549999999997</v>
      </c>
      <c r="BO60" s="35">
        <v>1473.3284979999999</v>
      </c>
      <c r="BP60" s="34">
        <f t="shared" si="18"/>
        <v>6990.5037980000006</v>
      </c>
      <c r="BQ60" s="34">
        <f t="shared" si="51"/>
        <v>7832.0478999999996</v>
      </c>
      <c r="BR60" s="34">
        <f t="shared" si="51"/>
        <v>696.43579999999997</v>
      </c>
      <c r="BS60" s="34">
        <f t="shared" si="52"/>
        <v>1580.7544979999998</v>
      </c>
      <c r="BU60" s="34">
        <f t="shared" si="19"/>
        <v>4032.4238111818272</v>
      </c>
      <c r="BV60" s="34">
        <f t="shared" si="20"/>
        <v>277.92994329131506</v>
      </c>
      <c r="BW60" s="35">
        <f t="shared" si="21"/>
        <v>1539.3167161260089</v>
      </c>
      <c r="BX60" s="34">
        <f t="shared" si="50"/>
        <v>726.8071411275032</v>
      </c>
      <c r="BY60" s="34">
        <f t="shared" si="22"/>
        <v>7303.5981894132592</v>
      </c>
      <c r="BZ60" s="44"/>
      <c r="CA60" s="34">
        <f t="shared" si="23"/>
        <v>5465.5959966302116</v>
      </c>
      <c r="CB60" s="35">
        <f t="shared" si="24"/>
        <v>376.70960606481185</v>
      </c>
      <c r="CC60" s="34">
        <f t="shared" si="25"/>
        <v>2086.4084915564727</v>
      </c>
      <c r="CD60" s="34">
        <f t="shared" si="26"/>
        <v>985.12318815627793</v>
      </c>
      <c r="CE60" s="34">
        <f t="shared" si="27"/>
        <v>9899.3853062665567</v>
      </c>
      <c r="CG60" s="34">
        <f t="shared" si="57"/>
        <v>11091.111905470685</v>
      </c>
      <c r="CH60" s="34">
        <f t="shared" si="57"/>
        <v>986.23597447303666</v>
      </c>
      <c r="CI60" s="34">
        <f t="shared" si="57"/>
        <v>2238.5364921471091</v>
      </c>
      <c r="CJ60" s="34">
        <f t="shared" si="29"/>
        <v>985.12318815627793</v>
      </c>
      <c r="CK60" s="34">
        <f t="shared" si="30"/>
        <v>10884.508494422835</v>
      </c>
      <c r="CL60" s="34">
        <f t="shared" si="58"/>
        <v>14315.88437209083</v>
      </c>
      <c r="CM60" s="34">
        <f t="shared" si="32"/>
        <v>6943.5909060952172</v>
      </c>
      <c r="CO60" s="34">
        <f t="shared" si="33"/>
        <v>9475.0133819835919</v>
      </c>
      <c r="CP60" s="34">
        <f t="shared" si="34"/>
        <v>10417.905804281207</v>
      </c>
      <c r="CQ60" s="34">
        <f t="shared" si="35"/>
        <v>942.89242229761328</v>
      </c>
      <c r="CR60" s="34">
        <f t="shared" si="36"/>
        <v>6645.9294914629363</v>
      </c>
      <c r="CS60" s="34">
        <f t="shared" si="37"/>
        <v>7056.2542102488133</v>
      </c>
    </row>
    <row r="61" spans="1:97" x14ac:dyDescent="0.25">
      <c r="A61" s="42" t="s">
        <v>156</v>
      </c>
      <c r="B61" t="s">
        <v>154</v>
      </c>
      <c r="C61" s="61">
        <v>734055</v>
      </c>
      <c r="D61" s="36">
        <v>225.5</v>
      </c>
      <c r="E61" s="17">
        <f>+D61/D60-1</f>
        <v>3.0277832350267042E-2</v>
      </c>
      <c r="F61" s="37">
        <f t="shared" si="53"/>
        <v>1.0140842572062083</v>
      </c>
      <c r="G61" s="47">
        <v>61</v>
      </c>
      <c r="H61" s="47">
        <v>121.6</v>
      </c>
      <c r="I61" s="47">
        <v>66.400000000000006</v>
      </c>
      <c r="J61" s="47">
        <v>741.2</v>
      </c>
      <c r="K61" s="47"/>
      <c r="L61" s="47">
        <v>8.6999999999999993</v>
      </c>
      <c r="M61" s="47">
        <v>977.8</v>
      </c>
      <c r="N61" s="47">
        <f>23.6+0.9</f>
        <v>24.5</v>
      </c>
      <c r="O61" s="47"/>
      <c r="P61" s="62">
        <f t="shared" si="60"/>
        <v>1940.2</v>
      </c>
      <c r="Q61" s="47">
        <f>$Q60+P61</f>
        <v>118978.34999999999</v>
      </c>
      <c r="R61" s="47">
        <v>473.3</v>
      </c>
      <c r="S61" s="56">
        <v>24.2</v>
      </c>
      <c r="T61" s="22">
        <f t="shared" si="59"/>
        <v>2437.6999999999998</v>
      </c>
      <c r="U61" s="53">
        <f t="shared" si="1"/>
        <v>0.79591418140050052</v>
      </c>
      <c r="V61" s="24">
        <v>0</v>
      </c>
      <c r="W61" s="35">
        <v>726</v>
      </c>
      <c r="X61" s="24"/>
      <c r="Z61" s="27">
        <v>3860.0745999999999</v>
      </c>
      <c r="AA61" s="27">
        <v>485.03870000000001</v>
      </c>
      <c r="AB61" s="63">
        <f t="shared" si="39"/>
        <v>4345.1133</v>
      </c>
      <c r="AC61" s="27">
        <v>129.6352</v>
      </c>
      <c r="AD61" s="43">
        <v>726</v>
      </c>
      <c r="AE61" s="63">
        <f t="shared" si="2"/>
        <v>4474.7484999999997</v>
      </c>
      <c r="AF61" s="30"/>
      <c r="AG61" s="39">
        <v>4.3773999999999997</v>
      </c>
      <c r="AH61" s="31">
        <f>T61-AE61-AG61</f>
        <v>-2041.4259</v>
      </c>
      <c r="AI61" s="54">
        <f>T61-AE61</f>
        <v>-2037.0484999999999</v>
      </c>
      <c r="AK61" s="32">
        <f t="shared" si="3"/>
        <v>3914.4408835015515</v>
      </c>
      <c r="AL61" s="32">
        <f t="shared" si="4"/>
        <v>491.87010980576491</v>
      </c>
      <c r="AM61" s="32">
        <f t="shared" si="5"/>
        <v>131.46101549977826</v>
      </c>
      <c r="AN61" s="32">
        <f t="shared" si="42"/>
        <v>736.22517073170729</v>
      </c>
      <c r="AO61" s="32">
        <f t="shared" si="6"/>
        <v>2472.0331937915739</v>
      </c>
      <c r="AP61" s="33">
        <f t="shared" si="7"/>
        <v>0</v>
      </c>
      <c r="AQ61" s="33">
        <f t="shared" si="43"/>
        <v>736.22517073170729</v>
      </c>
      <c r="AS61" s="33">
        <f t="shared" si="8"/>
        <v>5258.5631866821968</v>
      </c>
      <c r="AT61" s="33">
        <f t="shared" si="9"/>
        <v>660.76615512461603</v>
      </c>
      <c r="AU61" s="33">
        <f t="shared" si="10"/>
        <v>176.60148081547021</v>
      </c>
      <c r="AV61" s="33">
        <f t="shared" si="44"/>
        <v>989.02670780799804</v>
      </c>
      <c r="AW61" s="33">
        <f t="shared" si="11"/>
        <v>6095.9308226222838</v>
      </c>
      <c r="AX61" s="33">
        <f t="shared" si="12"/>
        <v>3320.8683273051743</v>
      </c>
      <c r="AY61" s="33">
        <f t="shared" si="45"/>
        <v>0</v>
      </c>
      <c r="AZ61" s="33">
        <f t="shared" si="46"/>
        <v>989.02670780799804</v>
      </c>
      <c r="BA61" s="38"/>
      <c r="BB61" s="32">
        <f t="shared" si="13"/>
        <v>5332.6261431385274</v>
      </c>
      <c r="BC61" s="32">
        <f t="shared" si="14"/>
        <v>670.07255560654846</v>
      </c>
      <c r="BD61" s="32">
        <f t="shared" si="15"/>
        <v>179.08878149427258</v>
      </c>
      <c r="BE61" s="32">
        <f t="shared" si="16"/>
        <v>3367.6402909748913</v>
      </c>
      <c r="BF61" s="32">
        <f t="shared" si="47"/>
        <v>1002.9564143445754</v>
      </c>
      <c r="BG61" s="32">
        <f t="shared" si="48"/>
        <v>7184.7438945839231</v>
      </c>
      <c r="BH61" s="32">
        <f t="shared" si="17"/>
        <v>0</v>
      </c>
      <c r="BI61" s="32">
        <f t="shared" si="49"/>
        <v>1002.9564143445754</v>
      </c>
      <c r="BJ61" s="32">
        <f t="shared" si="55"/>
        <v>-2814.1471892644563</v>
      </c>
      <c r="BK61" s="32"/>
      <c r="BM61" s="34">
        <v>4199.3567999999996</v>
      </c>
      <c r="BN61" s="34">
        <v>328.07549999999998</v>
      </c>
      <c r="BO61" s="35">
        <v>1327.2652190000001</v>
      </c>
      <c r="BP61" s="34">
        <f t="shared" si="18"/>
        <v>8292.3975189999983</v>
      </c>
      <c r="BQ61" s="34">
        <f t="shared" si="51"/>
        <v>8059.4313999999995</v>
      </c>
      <c r="BR61" s="34">
        <f t="shared" si="51"/>
        <v>813.11419999999998</v>
      </c>
      <c r="BS61" s="34">
        <f t="shared" si="52"/>
        <v>1456.9004190000001</v>
      </c>
      <c r="BU61" s="34">
        <f t="shared" si="19"/>
        <v>4258.5016212718392</v>
      </c>
      <c r="BV61" s="34">
        <f t="shared" si="20"/>
        <v>332.69619972505535</v>
      </c>
      <c r="BW61" s="35">
        <f t="shared" si="21"/>
        <v>1345.9587637252505</v>
      </c>
      <c r="BX61" s="34">
        <f t="shared" si="50"/>
        <v>736.22517073170729</v>
      </c>
      <c r="BY61" s="34">
        <f t="shared" si="22"/>
        <v>8409.1897785137171</v>
      </c>
      <c r="BZ61" s="44"/>
      <c r="CA61" s="34">
        <f t="shared" si="23"/>
        <v>5801.3386207734284</v>
      </c>
      <c r="CB61" s="35">
        <f t="shared" si="24"/>
        <v>453.23061585992241</v>
      </c>
      <c r="CC61" s="34">
        <f t="shared" si="25"/>
        <v>1833.5938910916082</v>
      </c>
      <c r="CD61" s="34">
        <f t="shared" si="26"/>
        <v>1002.9564143445754</v>
      </c>
      <c r="CE61" s="34">
        <f t="shared" si="27"/>
        <v>11455.803418699848</v>
      </c>
      <c r="CG61" s="34">
        <f t="shared" si="57"/>
        <v>11133.964763911956</v>
      </c>
      <c r="CH61" s="34">
        <f t="shared" si="57"/>
        <v>1123.3031714664708</v>
      </c>
      <c r="CI61" s="34">
        <f t="shared" si="57"/>
        <v>2012.6826725858807</v>
      </c>
      <c r="CJ61" s="34">
        <f t="shared" si="29"/>
        <v>1002.9564143445754</v>
      </c>
      <c r="CK61" s="34">
        <f t="shared" si="30"/>
        <v>12458.759833044423</v>
      </c>
      <c r="CL61" s="34">
        <f t="shared" si="58"/>
        <v>14269.950607964307</v>
      </c>
      <c r="CM61" s="34">
        <f t="shared" si="32"/>
        <v>7085.2067133803839</v>
      </c>
      <c r="CO61" s="34">
        <f t="shared" si="33"/>
        <v>11296.69782100796</v>
      </c>
      <c r="CP61" s="34">
        <f t="shared" si="34"/>
        <v>12285.724528815957</v>
      </c>
      <c r="CQ61" s="34">
        <f t="shared" si="35"/>
        <v>989.02670780799804</v>
      </c>
      <c r="CR61" s="34">
        <f t="shared" si="36"/>
        <v>6986.8027858947889</v>
      </c>
      <c r="CS61" s="34">
        <f t="shared" si="37"/>
        <v>7084.9575304302807</v>
      </c>
    </row>
    <row r="62" spans="1:97" x14ac:dyDescent="0.25">
      <c r="A62" s="42" t="s">
        <v>157</v>
      </c>
      <c r="B62" t="s">
        <v>154</v>
      </c>
      <c r="C62" s="61">
        <v>731007</v>
      </c>
      <c r="D62" s="36">
        <v>228.67599999999999</v>
      </c>
      <c r="E62" s="17">
        <f>+D62/D61-1</f>
        <v>1.4084257206208317E-2</v>
      </c>
      <c r="F62" s="37">
        <f t="shared" si="53"/>
        <v>1</v>
      </c>
      <c r="G62" s="59">
        <v>69.459999999999994</v>
      </c>
      <c r="H62" s="47">
        <v>119.5</v>
      </c>
      <c r="I62" s="47">
        <v>217.7</v>
      </c>
      <c r="J62" s="47">
        <v>587.29999999999995</v>
      </c>
      <c r="K62" s="47"/>
      <c r="L62" s="47">
        <v>8.1999999999999993</v>
      </c>
      <c r="M62" s="47">
        <v>1074.5</v>
      </c>
      <c r="N62" s="47">
        <v>36.6</v>
      </c>
      <c r="O62" s="47"/>
      <c r="P62" s="62">
        <v>2043.8</v>
      </c>
      <c r="Q62" s="47">
        <v>121022.15</v>
      </c>
      <c r="R62" s="47">
        <v>583.39999999999986</v>
      </c>
      <c r="S62" s="56">
        <v>15.3</v>
      </c>
      <c r="T62" s="22">
        <f t="shared" si="59"/>
        <v>2642.5</v>
      </c>
      <c r="U62" s="53">
        <f t="shared" si="1"/>
        <v>0.77343424787133397</v>
      </c>
      <c r="V62" s="47">
        <f>2722.6</f>
        <v>2722.6</v>
      </c>
      <c r="W62" s="35"/>
      <c r="X62" s="47">
        <f>5349.8-1023.487+15.3</f>
        <v>4341.6130000000003</v>
      </c>
      <c r="Z62" s="27">
        <v>4006.8850000000002</v>
      </c>
      <c r="AA62" s="27">
        <v>657.13990000000001</v>
      </c>
      <c r="AB62" s="63">
        <f t="shared" si="39"/>
        <v>4664.0249000000003</v>
      </c>
      <c r="AC62" s="27">
        <v>167.96090000000001</v>
      </c>
      <c r="AD62" s="43">
        <v>1023.4872</v>
      </c>
      <c r="AE62" s="63">
        <f t="shared" si="2"/>
        <v>4831.9858000000004</v>
      </c>
      <c r="AF62" s="30"/>
      <c r="AG62" s="31">
        <f>27.9898-28</f>
        <v>-1.0200000000001097E-2</v>
      </c>
      <c r="AH62" s="31">
        <f>X62-AE62-AG62</f>
        <v>-490.3626000000001</v>
      </c>
      <c r="AI62" s="54">
        <f>X62-AE62</f>
        <v>-490.3728000000001</v>
      </c>
      <c r="AK62" s="32">
        <f t="shared" si="3"/>
        <v>4006.8850000000002</v>
      </c>
      <c r="AL62" s="32">
        <f t="shared" si="4"/>
        <v>657.13990000000001</v>
      </c>
      <c r="AM62" s="32">
        <f t="shared" si="5"/>
        <v>167.96090000000001</v>
      </c>
      <c r="AN62" s="32">
        <f t="shared" si="42"/>
        <v>1023.4872</v>
      </c>
      <c r="AO62" s="32">
        <f t="shared" si="6"/>
        <v>2642.5</v>
      </c>
      <c r="AP62" s="33">
        <f t="shared" si="7"/>
        <v>2722.6</v>
      </c>
      <c r="AQ62" s="33">
        <f t="shared" si="43"/>
        <v>0</v>
      </c>
      <c r="AR62" s="45"/>
      <c r="AS62" s="33">
        <f t="shared" si="8"/>
        <v>5481.3223402785479</v>
      </c>
      <c r="AT62" s="33">
        <f t="shared" si="9"/>
        <v>898.9515832269733</v>
      </c>
      <c r="AU62" s="33">
        <f t="shared" si="10"/>
        <v>229.76647282447365</v>
      </c>
      <c r="AV62" s="33">
        <f t="shared" si="44"/>
        <v>1400.1058813390296</v>
      </c>
      <c r="AW62" s="33">
        <f t="shared" si="11"/>
        <v>6610.040396329995</v>
      </c>
      <c r="AX62" s="33">
        <f t="shared" si="12"/>
        <v>3614.8764649312525</v>
      </c>
      <c r="AY62" s="33">
        <f t="shared" si="45"/>
        <v>3724.4513390432649</v>
      </c>
      <c r="AZ62" s="33">
        <f t="shared" si="46"/>
        <v>0</v>
      </c>
      <c r="BA62" s="38"/>
      <c r="BB62" s="32">
        <f t="shared" si="13"/>
        <v>5481.3223402785479</v>
      </c>
      <c r="BC62" s="32">
        <f t="shared" si="14"/>
        <v>898.9515832269733</v>
      </c>
      <c r="BD62" s="32">
        <f t="shared" si="15"/>
        <v>229.76647282447365</v>
      </c>
      <c r="BE62" s="32">
        <f t="shared" si="16"/>
        <v>3614.8764649312525</v>
      </c>
      <c r="BF62" s="32">
        <f t="shared" si="47"/>
        <v>1400.1058813390298</v>
      </c>
      <c r="BG62" s="32">
        <f t="shared" si="48"/>
        <v>8010.146277669025</v>
      </c>
      <c r="BH62" s="32">
        <f t="shared" si="17"/>
        <v>3724.4513390432649</v>
      </c>
      <c r="BI62" s="32">
        <f t="shared" si="49"/>
        <v>0</v>
      </c>
      <c r="BJ62" s="32">
        <f t="shared" si="55"/>
        <v>-670.8184736945077</v>
      </c>
      <c r="BK62" s="32"/>
      <c r="BM62" s="34">
        <v>4158.9128000000001</v>
      </c>
      <c r="BN62" s="35">
        <v>289.95949999999999</v>
      </c>
      <c r="BO62" s="35">
        <v>1425.819356</v>
      </c>
      <c r="BP62" s="35">
        <f t="shared" si="18"/>
        <v>8517.1916559999991</v>
      </c>
      <c r="BQ62" s="34">
        <f t="shared" si="51"/>
        <v>8165.7978000000003</v>
      </c>
      <c r="BR62" s="34">
        <f t="shared" si="51"/>
        <v>947.09940000000006</v>
      </c>
      <c r="BS62" s="34">
        <f t="shared" si="52"/>
        <v>1593.780256</v>
      </c>
      <c r="BU62" s="34">
        <f t="shared" si="19"/>
        <v>4158.9128000000001</v>
      </c>
      <c r="BV62" s="34">
        <f t="shared" si="20"/>
        <v>289.95949999999999</v>
      </c>
      <c r="BW62" s="35">
        <f t="shared" si="21"/>
        <v>1425.819356</v>
      </c>
      <c r="BX62" s="34">
        <f t="shared" si="50"/>
        <v>1023.4872</v>
      </c>
      <c r="BY62" s="34">
        <f t="shared" si="22"/>
        <v>8517.1916559999991</v>
      </c>
      <c r="BZ62" s="44"/>
      <c r="CA62" s="34">
        <f t="shared" si="23"/>
        <v>5689.2927153912351</v>
      </c>
      <c r="CB62" s="35">
        <f t="shared" si="24"/>
        <v>396.65762434559451</v>
      </c>
      <c r="CC62" s="34">
        <f t="shared" si="25"/>
        <v>1950.4865972555667</v>
      </c>
      <c r="CD62" s="34">
        <f t="shared" si="26"/>
        <v>1400.1058813390298</v>
      </c>
      <c r="CE62" s="34">
        <f t="shared" si="27"/>
        <v>11651.313401923648</v>
      </c>
      <c r="CG62" s="34">
        <f t="shared" si="57"/>
        <v>11170.615055669783</v>
      </c>
      <c r="CH62" s="34">
        <f t="shared" si="57"/>
        <v>1295.6092075725678</v>
      </c>
      <c r="CI62" s="34">
        <f t="shared" si="57"/>
        <v>2180.2530700800403</v>
      </c>
      <c r="CJ62" s="34">
        <f t="shared" si="29"/>
        <v>1400.1058813390298</v>
      </c>
      <c r="CK62" s="34">
        <f t="shared" si="30"/>
        <v>13051.419283262678</v>
      </c>
      <c r="CL62" s="34">
        <f>+CG62+CH62+CI62</f>
        <v>14646.477333322391</v>
      </c>
      <c r="CM62" s="34">
        <f t="shared" si="32"/>
        <v>6636.3310556533661</v>
      </c>
      <c r="CO62" s="34">
        <f t="shared" si="33"/>
        <v>11651.313401923648</v>
      </c>
      <c r="CP62" s="34">
        <f t="shared" si="34"/>
        <v>13051.419283262678</v>
      </c>
      <c r="CQ62" s="34">
        <f t="shared" si="35"/>
        <v>1400.1058813390298</v>
      </c>
      <c r="CR62" s="34">
        <f t="shared" si="36"/>
        <v>6636.3310556533661</v>
      </c>
      <c r="CS62" s="34">
        <f t="shared" si="37"/>
        <v>8010.146277669025</v>
      </c>
    </row>
    <row r="63" spans="1:97" x14ac:dyDescent="0.25">
      <c r="A63" s="42" t="s">
        <v>158</v>
      </c>
      <c r="B63" t="s">
        <v>159</v>
      </c>
      <c r="C63" s="64">
        <v>729381</v>
      </c>
      <c r="D63" s="65">
        <f>+D62*(1+$E$72)</f>
        <v>233.82120999999998</v>
      </c>
      <c r="E63" s="66">
        <f>+D63/D62-1</f>
        <v>2.2499999999999964E-2</v>
      </c>
      <c r="F63" s="37">
        <f t="shared" si="53"/>
        <v>0.97799511002444994</v>
      </c>
      <c r="G63" s="59">
        <v>52.12</v>
      </c>
      <c r="H63" s="47"/>
      <c r="I63" s="47"/>
      <c r="J63" s="47"/>
      <c r="K63" s="47"/>
      <c r="L63" s="47"/>
      <c r="M63" s="47"/>
      <c r="N63" s="47"/>
      <c r="O63" s="47"/>
      <c r="P63" s="62">
        <v>1098.8</v>
      </c>
      <c r="Q63" s="47">
        <v>122120.95</v>
      </c>
      <c r="R63" s="47">
        <v>490.40000000000009</v>
      </c>
      <c r="S63" s="56">
        <v>38.200000000000003</v>
      </c>
      <c r="T63" s="22">
        <f t="shared" si="59"/>
        <v>1627.4</v>
      </c>
      <c r="U63" s="53">
        <f>P63/T63</f>
        <v>0.67518741550940142</v>
      </c>
      <c r="V63" s="47">
        <f>2933.1</f>
        <v>2933.1</v>
      </c>
      <c r="W63" s="35"/>
      <c r="X63" s="47">
        <f>4522.3-1068.9+S63</f>
        <v>3491.6</v>
      </c>
      <c r="Z63" s="27">
        <v>4092.3937999999998</v>
      </c>
      <c r="AA63" s="27">
        <v>492.06079999999997</v>
      </c>
      <c r="AB63" s="63">
        <v>4584.4546</v>
      </c>
      <c r="AC63" s="27">
        <v>177.4872</v>
      </c>
      <c r="AD63" s="43">
        <v>1068.67</v>
      </c>
      <c r="AE63" s="63">
        <v>4761.9417999999996</v>
      </c>
      <c r="AF63" s="30"/>
      <c r="AG63" s="39">
        <v>-156.6</v>
      </c>
      <c r="AH63" s="31">
        <f>X63-AE63-AG63</f>
        <v>-1113.7417999999998</v>
      </c>
      <c r="AI63" s="54">
        <f>X63-AE63</f>
        <v>-1270.3417999999997</v>
      </c>
      <c r="AK63" s="32">
        <f t="shared" si="3"/>
        <v>4002.3411246943765</v>
      </c>
      <c r="AL63" s="32">
        <f t="shared" si="4"/>
        <v>481.23305623471884</v>
      </c>
      <c r="AM63" s="32">
        <f t="shared" si="5"/>
        <v>173.58161369193155</v>
      </c>
      <c r="AN63" s="32">
        <f t="shared" si="42"/>
        <v>1045.154034229829</v>
      </c>
      <c r="AO63" s="32">
        <f t="shared" si="6"/>
        <v>1591.58924205379</v>
      </c>
      <c r="AP63" s="33">
        <f t="shared" si="7"/>
        <v>2868.5574572127139</v>
      </c>
      <c r="AQ63" s="33">
        <f t="shared" si="43"/>
        <v>0</v>
      </c>
      <c r="AR63" s="45"/>
      <c r="AS63" s="33">
        <f t="shared" si="8"/>
        <v>5610.7765351716043</v>
      </c>
      <c r="AT63" s="33">
        <f t="shared" si="9"/>
        <v>674.62793793641458</v>
      </c>
      <c r="AU63" s="33">
        <f t="shared" si="10"/>
        <v>243.33948923813483</v>
      </c>
      <c r="AV63" s="33">
        <f t="shared" si="44"/>
        <v>1465.1738940279499</v>
      </c>
      <c r="AW63" s="33">
        <f t="shared" si="11"/>
        <v>6528.7439623461541</v>
      </c>
      <c r="AX63" s="33">
        <f t="shared" si="12"/>
        <v>2231.2070097795258</v>
      </c>
      <c r="AY63" s="33">
        <f t="shared" si="45"/>
        <v>4021.3550942511529</v>
      </c>
      <c r="AZ63" s="33">
        <f t="shared" si="46"/>
        <v>0</v>
      </c>
      <c r="BA63" s="38"/>
      <c r="BB63" s="67">
        <f t="shared" si="13"/>
        <v>5487.3120148377557</v>
      </c>
      <c r="BC63" s="67">
        <f t="shared" si="14"/>
        <v>659.78282438769156</v>
      </c>
      <c r="BD63" s="20">
        <f t="shared" si="15"/>
        <v>237.98483055074311</v>
      </c>
      <c r="BE63" s="32">
        <f t="shared" si="16"/>
        <v>2182.1095450166513</v>
      </c>
      <c r="BF63" s="32">
        <f t="shared" si="47"/>
        <v>1432.9329036948166</v>
      </c>
      <c r="BG63" s="32">
        <f t="shared" si="48"/>
        <v>7818.0125734710064</v>
      </c>
      <c r="BH63" s="32">
        <f t="shared" si="17"/>
        <v>3932.8656178495385</v>
      </c>
      <c r="BI63" s="32">
        <f t="shared" si="49"/>
        <v>0</v>
      </c>
      <c r="BJ63" s="32">
        <f t="shared" si="55"/>
        <v>-1703.0374106048166</v>
      </c>
      <c r="BK63" s="32"/>
      <c r="BM63" s="35">
        <v>5196.3213999999998</v>
      </c>
      <c r="BN63" s="35">
        <v>303.73669999999998</v>
      </c>
      <c r="BO63" s="35">
        <v>1219.3199</v>
      </c>
      <c r="BP63" s="35">
        <f t="shared" si="18"/>
        <v>8346.7780000000002</v>
      </c>
      <c r="BQ63" s="34">
        <f t="shared" si="51"/>
        <v>9288.7151999999987</v>
      </c>
      <c r="BR63" s="34">
        <f t="shared" si="51"/>
        <v>795.7974999999999</v>
      </c>
      <c r="BS63" s="34">
        <f t="shared" si="52"/>
        <v>1396.8071</v>
      </c>
      <c r="BU63" s="34">
        <f t="shared" si="19"/>
        <v>5081.9769193154034</v>
      </c>
      <c r="BV63" s="34">
        <f t="shared" si="20"/>
        <v>297.05300733496335</v>
      </c>
      <c r="BW63" s="35">
        <f t="shared" si="21"/>
        <v>1192.4888997555013</v>
      </c>
      <c r="BX63" s="34">
        <f t="shared" si="50"/>
        <v>1045.154034229829</v>
      </c>
      <c r="BY63" s="34">
        <f t="shared" si="22"/>
        <v>8163.1080684596582</v>
      </c>
      <c r="BZ63" s="44"/>
      <c r="CA63" s="34">
        <f t="shared" si="23"/>
        <v>6967.520293667375</v>
      </c>
      <c r="CB63" s="35">
        <f t="shared" si="24"/>
        <v>407.26726818351915</v>
      </c>
      <c r="CC63" s="34">
        <f t="shared" si="25"/>
        <v>1634.9327714260467</v>
      </c>
      <c r="CD63" s="34">
        <f t="shared" si="26"/>
        <v>1432.9329036948166</v>
      </c>
      <c r="CE63" s="34">
        <f t="shared" si="27"/>
        <v>11191.829878293593</v>
      </c>
      <c r="CG63" s="34">
        <f t="shared" si="57"/>
        <v>12454.832308505131</v>
      </c>
      <c r="CH63" s="34">
        <f t="shared" si="57"/>
        <v>1067.0500925712108</v>
      </c>
      <c r="CI63" s="34">
        <f t="shared" si="57"/>
        <v>1872.9176019767897</v>
      </c>
      <c r="CJ63" s="34">
        <f t="shared" si="29"/>
        <v>1432.9329036948166</v>
      </c>
      <c r="CK63" s="34">
        <f t="shared" si="30"/>
        <v>12624.762781988409</v>
      </c>
      <c r="CL63" s="34">
        <f>+CG63+CH63+CI63</f>
        <v>15394.800003053131</v>
      </c>
      <c r="CM63" s="34">
        <f t="shared" si="32"/>
        <v>7576.7874295821248</v>
      </c>
      <c r="CO63" s="34">
        <f t="shared" si="33"/>
        <v>11443.646050555199</v>
      </c>
      <c r="CP63" s="34">
        <f t="shared" si="34"/>
        <v>12908.819944583147</v>
      </c>
      <c r="CQ63" s="34">
        <f t="shared" si="35"/>
        <v>1465.1738940279499</v>
      </c>
      <c r="CR63" s="34">
        <f t="shared" si="36"/>
        <v>7747.2651467477217</v>
      </c>
      <c r="CS63" s="34">
        <f t="shared" si="37"/>
        <v>7993.9178563741034</v>
      </c>
    </row>
    <row r="64" spans="1:97" x14ac:dyDescent="0.25">
      <c r="A64" s="42" t="s">
        <v>160</v>
      </c>
      <c r="B64" t="s">
        <v>159</v>
      </c>
      <c r="C64" s="64">
        <v>727484</v>
      </c>
      <c r="D64" s="65">
        <f>+D63*(1+$E$72)</f>
        <v>239.08218722499998</v>
      </c>
      <c r="E64" s="66">
        <f>+D64/D63-1</f>
        <v>2.2499999999999964E-2</v>
      </c>
      <c r="F64" s="37">
        <f t="shared" si="53"/>
        <v>0.95647443523173581</v>
      </c>
      <c r="G64" s="59">
        <v>37</v>
      </c>
      <c r="H64" s="47"/>
      <c r="I64" s="47"/>
      <c r="J64" s="47"/>
      <c r="K64" s="47"/>
      <c r="L64" s="47"/>
      <c r="M64" s="47"/>
      <c r="N64" s="47"/>
      <c r="O64" s="47"/>
      <c r="P64" s="62">
        <v>716.6</v>
      </c>
      <c r="Q64" s="47">
        <v>122837.55</v>
      </c>
      <c r="R64" s="47">
        <v>436.19999999999993</v>
      </c>
      <c r="T64" s="22">
        <v>1152.8</v>
      </c>
      <c r="U64" s="53">
        <f t="shared" si="1"/>
        <v>0.621616932685635</v>
      </c>
      <c r="V64" s="47">
        <f>3091.5</f>
        <v>3091.5</v>
      </c>
      <c r="W64" s="35"/>
      <c r="X64" s="47">
        <f>4244.3-680</f>
        <v>3564.3</v>
      </c>
      <c r="Z64" s="27">
        <v>3913.1314000000002</v>
      </c>
      <c r="AA64" s="27">
        <v>446.32769999999999</v>
      </c>
      <c r="AB64" s="63">
        <v>4359.4591</v>
      </c>
      <c r="AC64" s="27">
        <v>120.3275</v>
      </c>
      <c r="AD64" s="43">
        <v>680</v>
      </c>
      <c r="AE64" s="63">
        <v>4479.7866000000004</v>
      </c>
      <c r="AF64" s="30"/>
      <c r="AG64" s="39">
        <v>30.4</v>
      </c>
      <c r="AH64" s="31">
        <f>X64-AE64-AG64</f>
        <v>-945.88660000000016</v>
      </c>
      <c r="AI64" s="54">
        <f>X64-AE64</f>
        <v>-915.48660000000018</v>
      </c>
      <c r="AK64" s="32">
        <f t="shared" si="3"/>
        <v>3742.8101458025717</v>
      </c>
      <c r="AL64" s="32">
        <f t="shared" si="4"/>
        <v>426.90103478577959</v>
      </c>
      <c r="AM64" s="32">
        <f t="shared" si="5"/>
        <v>115.0901776053467</v>
      </c>
      <c r="AN64" s="32">
        <f t="shared" si="42"/>
        <v>650.40261595758034</v>
      </c>
      <c r="AO64" s="32">
        <f t="shared" si="6"/>
        <v>1102.623728935145</v>
      </c>
      <c r="AP64" s="33">
        <f>+V64*F64</f>
        <v>2956.9407165189114</v>
      </c>
      <c r="AQ64" s="33">
        <f t="shared" si="43"/>
        <v>0</v>
      </c>
      <c r="AS64" s="33">
        <f t="shared" si="8"/>
        <v>5378.9930775109833</v>
      </c>
      <c r="AT64" s="33">
        <f t="shared" si="9"/>
        <v>613.52235925463651</v>
      </c>
      <c r="AU64" s="33">
        <f t="shared" si="10"/>
        <v>165.40226314255708</v>
      </c>
      <c r="AV64" s="33">
        <f t="shared" si="44"/>
        <v>934.7284613819686</v>
      </c>
      <c r="AW64" s="33">
        <f t="shared" si="11"/>
        <v>6157.9176999081765</v>
      </c>
      <c r="AX64" s="33">
        <f t="shared" si="12"/>
        <v>1584.6396621781371</v>
      </c>
      <c r="AY64" s="33">
        <f t="shared" si="45"/>
        <v>4249.5779975916994</v>
      </c>
      <c r="AZ64" s="33">
        <f t="shared" si="46"/>
        <v>0</v>
      </c>
      <c r="BA64" s="38"/>
      <c r="BB64" s="67">
        <f t="shared" si="13"/>
        <v>5144.8693659277342</v>
      </c>
      <c r="BC64" s="67">
        <f t="shared" si="14"/>
        <v>586.81845207012054</v>
      </c>
      <c r="BD64" s="20">
        <f t="shared" si="15"/>
        <v>158.20303622532825</v>
      </c>
      <c r="BE64" s="32">
        <f t="shared" si="16"/>
        <v>1515.6673259276424</v>
      </c>
      <c r="BF64" s="32">
        <f t="shared" si="47"/>
        <v>894.0438771953477</v>
      </c>
      <c r="BG64" s="32">
        <f t="shared" si="48"/>
        <v>6783.9347314185306</v>
      </c>
      <c r="BH64" s="32">
        <f t="shared" si="17"/>
        <v>4064.6127152197319</v>
      </c>
      <c r="BI64" s="32">
        <f t="shared" si="49"/>
        <v>0</v>
      </c>
      <c r="BJ64" s="32">
        <f t="shared" si="55"/>
        <v>-1203.6546902711566</v>
      </c>
      <c r="BK64" s="32"/>
      <c r="BM64" s="35">
        <v>4490.9110000000001</v>
      </c>
      <c r="BN64" s="35">
        <v>208.1045</v>
      </c>
      <c r="BO64" s="35">
        <v>1045.8889999999999</v>
      </c>
      <c r="BP64" s="35">
        <f t="shared" si="18"/>
        <v>6897.7045000000007</v>
      </c>
      <c r="BQ64" s="34">
        <f t="shared" si="51"/>
        <v>8404.0424000000003</v>
      </c>
      <c r="BR64" s="34">
        <f t="shared" si="51"/>
        <v>654.43219999999997</v>
      </c>
      <c r="BS64" s="34">
        <f t="shared" si="52"/>
        <v>1166.2165</v>
      </c>
      <c r="BU64" s="34">
        <f t="shared" si="19"/>
        <v>4295.4415624009898</v>
      </c>
      <c r="BV64" s="34">
        <f t="shared" si="20"/>
        <v>199.04663410668277</v>
      </c>
      <c r="BW64" s="35">
        <f t="shared" si="21"/>
        <v>1000.3660905900848</v>
      </c>
      <c r="BX64" s="34">
        <f t="shared" si="50"/>
        <v>650.40261595758034</v>
      </c>
      <c r="BY64" s="34">
        <f t="shared" si="22"/>
        <v>6597.4780160329037</v>
      </c>
      <c r="CA64" s="34">
        <f t="shared" si="23"/>
        <v>5904.5168861459351</v>
      </c>
      <c r="CB64" s="35">
        <f t="shared" si="24"/>
        <v>273.60963829676359</v>
      </c>
      <c r="CC64" s="34">
        <f t="shared" si="25"/>
        <v>1375.1039068764189</v>
      </c>
      <c r="CD64" s="34">
        <f t="shared" si="26"/>
        <v>894.0438771953477</v>
      </c>
      <c r="CE64" s="34">
        <f t="shared" si="27"/>
        <v>9068.8977572467629</v>
      </c>
      <c r="CG64" s="34">
        <f t="shared" si="57"/>
        <v>11049.386252073669</v>
      </c>
      <c r="CH64" s="34">
        <f t="shared" si="57"/>
        <v>860.42809036688413</v>
      </c>
      <c r="CI64" s="34">
        <f t="shared" si="57"/>
        <v>1533.3069431017473</v>
      </c>
      <c r="CJ64" s="34">
        <f t="shared" si="29"/>
        <v>894.0438771953477</v>
      </c>
      <c r="CK64" s="34">
        <f t="shared" si="30"/>
        <v>9962.9416344421115</v>
      </c>
      <c r="CL64" s="34">
        <f>+CG64+CH64+CI64</f>
        <v>13443.1212855423</v>
      </c>
      <c r="CM64" s="34">
        <f t="shared" si="32"/>
        <v>6659.1865541237694</v>
      </c>
      <c r="CO64" s="34">
        <f t="shared" si="33"/>
        <v>9481.5892858124735</v>
      </c>
      <c r="CP64" s="34">
        <f t="shared" si="34"/>
        <v>10416.317747194444</v>
      </c>
      <c r="CQ64" s="34">
        <f t="shared" si="35"/>
        <v>934.72846138196849</v>
      </c>
      <c r="CR64" s="34">
        <f t="shared" si="36"/>
        <v>6962.2211622523646</v>
      </c>
      <c r="CS64" s="34">
        <f t="shared" si="37"/>
        <v>7092.6461612901448</v>
      </c>
    </row>
    <row r="65" spans="1:87" x14ac:dyDescent="0.25">
      <c r="A65" s="42" t="s">
        <v>161</v>
      </c>
      <c r="B65" t="s">
        <v>159</v>
      </c>
      <c r="C65" s="15">
        <v>725348</v>
      </c>
      <c r="D65" s="16"/>
      <c r="E65" s="68"/>
      <c r="G65" s="59">
        <v>41</v>
      </c>
      <c r="H65" s="47"/>
      <c r="I65" s="47"/>
      <c r="J65" s="47"/>
      <c r="K65" s="47"/>
      <c r="L65" s="47"/>
      <c r="M65" s="47"/>
      <c r="N65" s="47"/>
      <c r="O65" s="47"/>
      <c r="P65" s="62">
        <v>805.4</v>
      </c>
      <c r="Q65" s="47">
        <v>123642.95</v>
      </c>
      <c r="R65" s="47">
        <v>476.80000000000007</v>
      </c>
      <c r="T65" s="22">
        <v>1282.2</v>
      </c>
      <c r="U65" s="53">
        <f t="shared" si="1"/>
        <v>0.62813913586024017</v>
      </c>
      <c r="V65" s="47">
        <f>X65-T65</f>
        <v>3048</v>
      </c>
      <c r="W65" s="47"/>
      <c r="X65" s="47">
        <v>4330.2</v>
      </c>
      <c r="Z65" s="69"/>
      <c r="AA65" s="69"/>
      <c r="AB65" s="21"/>
      <c r="AC65" s="70"/>
      <c r="AE65" s="21"/>
      <c r="AF65" s="21"/>
      <c r="AG65" s="47"/>
      <c r="AH65" s="47"/>
      <c r="AI65" s="21"/>
      <c r="AK65" s="32"/>
      <c r="AL65" s="32"/>
      <c r="AM65" s="32"/>
      <c r="AN65" s="32"/>
      <c r="AO65" s="32"/>
      <c r="AS65" s="71"/>
      <c r="AT65" s="71"/>
      <c r="AU65" s="71"/>
      <c r="AV65" s="71"/>
      <c r="AW65" s="71"/>
      <c r="AX65" s="71"/>
      <c r="AY65" s="71"/>
      <c r="AZ65" s="71"/>
      <c r="BA65" s="38"/>
      <c r="BB65" s="67"/>
      <c r="BC65" s="67"/>
    </row>
    <row r="66" spans="1:87" x14ac:dyDescent="0.25">
      <c r="A66" s="42" t="s">
        <v>162</v>
      </c>
      <c r="C66" s="15"/>
      <c r="D66" s="16"/>
      <c r="E66" s="68"/>
      <c r="G66" s="59">
        <v>44</v>
      </c>
      <c r="H66" s="47"/>
      <c r="I66" s="47"/>
      <c r="J66" s="47"/>
      <c r="K66" s="47"/>
      <c r="L66" s="47"/>
      <c r="M66" s="47"/>
      <c r="N66" s="47"/>
      <c r="O66" s="47"/>
      <c r="P66" s="62">
        <v>897</v>
      </c>
      <c r="Q66" s="47">
        <v>124539.95</v>
      </c>
      <c r="R66" s="47">
        <v>499.20000000000005</v>
      </c>
      <c r="T66" s="22">
        <v>1396.2</v>
      </c>
      <c r="U66" s="53">
        <f t="shared" ref="U66:U72" si="62">P66/T66</f>
        <v>0.64245810055865915</v>
      </c>
      <c r="V66" s="47">
        <f t="shared" ref="V66:V72" si="63">X66-T66</f>
        <v>3164</v>
      </c>
      <c r="W66" s="47"/>
      <c r="X66" s="47">
        <v>4560.2</v>
      </c>
      <c r="Z66" s="69"/>
      <c r="AA66" s="69"/>
      <c r="AB66" s="21"/>
      <c r="AC66" s="70"/>
      <c r="AE66" s="21"/>
      <c r="AF66" s="21"/>
      <c r="AG66" s="47"/>
      <c r="AH66" s="47"/>
      <c r="AI66" s="21"/>
      <c r="AK66" s="32"/>
      <c r="AL66" s="32"/>
      <c r="AM66" s="32"/>
      <c r="AN66" s="32"/>
      <c r="AO66" s="32"/>
      <c r="AS66" s="71"/>
      <c r="AT66" s="71"/>
      <c r="AU66" s="71"/>
      <c r="AV66" s="71"/>
      <c r="AW66" s="71"/>
      <c r="AX66" s="71"/>
      <c r="AY66" s="71"/>
      <c r="AZ66" s="71"/>
      <c r="BA66" s="38"/>
      <c r="BB66" s="67"/>
      <c r="BC66" s="67"/>
    </row>
    <row r="67" spans="1:87" x14ac:dyDescent="0.25">
      <c r="A67" s="42" t="s">
        <v>163</v>
      </c>
      <c r="C67" s="15"/>
      <c r="D67" s="16"/>
      <c r="E67" s="68"/>
      <c r="G67" s="59">
        <v>46</v>
      </c>
      <c r="H67" s="47"/>
      <c r="I67" s="47"/>
      <c r="J67" s="47"/>
      <c r="K67" s="47"/>
      <c r="L67" s="47"/>
      <c r="M67" s="47"/>
      <c r="N67" s="47"/>
      <c r="O67" s="47"/>
      <c r="P67" s="62">
        <v>941.5</v>
      </c>
      <c r="Q67" s="47">
        <v>125481.45</v>
      </c>
      <c r="R67" s="47">
        <v>521.40000000000009</v>
      </c>
      <c r="T67" s="22">
        <v>1462.9</v>
      </c>
      <c r="U67" s="53">
        <f t="shared" si="62"/>
        <v>0.64358466060564623</v>
      </c>
      <c r="V67" s="47">
        <f t="shared" si="63"/>
        <v>3223.9999999999995</v>
      </c>
      <c r="W67" s="47"/>
      <c r="X67" s="47">
        <v>4686.8999999999996</v>
      </c>
      <c r="Z67" s="69"/>
      <c r="AA67" s="69"/>
      <c r="AB67" s="21"/>
      <c r="AC67" s="70"/>
      <c r="AE67" s="72"/>
      <c r="AF67" s="21"/>
      <c r="AG67" s="47" t="s">
        <v>164</v>
      </c>
      <c r="AH67" s="47"/>
      <c r="AI67" s="21"/>
      <c r="AK67" s="32"/>
      <c r="AL67" s="32"/>
      <c r="AM67" s="32"/>
      <c r="AN67" s="32"/>
      <c r="AO67" s="32"/>
      <c r="AS67" s="71"/>
      <c r="AT67" s="71"/>
      <c r="AU67" s="71"/>
      <c r="AV67" s="71"/>
      <c r="AW67" s="71"/>
      <c r="AX67" s="71"/>
      <c r="AY67" s="71"/>
      <c r="AZ67" s="71"/>
      <c r="BA67" s="38"/>
      <c r="BB67" s="67"/>
      <c r="BC67" s="67"/>
    </row>
    <row r="68" spans="1:87" x14ac:dyDescent="0.25">
      <c r="A68" s="42" t="s">
        <v>165</v>
      </c>
      <c r="C68" s="15"/>
      <c r="D68" s="16"/>
      <c r="E68" s="68"/>
      <c r="G68" s="59">
        <v>48</v>
      </c>
      <c r="H68" s="47"/>
      <c r="I68" s="47"/>
      <c r="J68" s="47"/>
      <c r="K68" s="47"/>
      <c r="L68" s="47"/>
      <c r="M68" s="47"/>
      <c r="N68" s="47"/>
      <c r="O68" s="47"/>
      <c r="P68" s="62">
        <v>971.7</v>
      </c>
      <c r="Q68" s="47">
        <v>126453.15</v>
      </c>
      <c r="R68" s="47">
        <v>533.09999999999991</v>
      </c>
      <c r="T68" s="22">
        <v>1504.8</v>
      </c>
      <c r="U68" s="53">
        <f t="shared" si="62"/>
        <v>0.64573365231259972</v>
      </c>
      <c r="V68" s="47">
        <f t="shared" si="63"/>
        <v>3246</v>
      </c>
      <c r="W68" s="47"/>
      <c r="X68" s="47">
        <v>4750.8</v>
      </c>
      <c r="Z68" s="69"/>
      <c r="AA68" s="69"/>
      <c r="AB68" s="21"/>
      <c r="AC68" s="70"/>
      <c r="AD68" s="73"/>
      <c r="AE68" s="21"/>
      <c r="AF68" s="21"/>
      <c r="AG68" s="47" t="s">
        <v>164</v>
      </c>
      <c r="AH68" s="47"/>
      <c r="AI68" s="21"/>
      <c r="AK68" s="32"/>
      <c r="AL68" s="32"/>
      <c r="AM68" s="32"/>
      <c r="AN68" s="32"/>
      <c r="AO68" s="32"/>
      <c r="AS68" s="71"/>
      <c r="AT68" s="71"/>
      <c r="AU68" s="71"/>
      <c r="AV68" s="71"/>
      <c r="AW68" s="71"/>
      <c r="AX68" s="71"/>
      <c r="AY68" s="71"/>
      <c r="AZ68" s="71"/>
      <c r="BA68" s="38"/>
      <c r="BB68" s="67"/>
      <c r="BC68" s="67"/>
      <c r="BM68" s="74"/>
      <c r="BN68" s="73"/>
      <c r="BO68" s="73"/>
      <c r="BP68" s="73"/>
      <c r="BQ68" s="73"/>
      <c r="BR68" s="73"/>
      <c r="BS68" s="73"/>
      <c r="BT68" s="75"/>
      <c r="BU68" s="73"/>
      <c r="BV68" s="73"/>
      <c r="BW68" s="73"/>
      <c r="BX68" s="73"/>
      <c r="BY68" s="73"/>
      <c r="BZ68" s="75"/>
      <c r="CA68" s="73"/>
      <c r="CB68" s="73"/>
      <c r="CC68" s="73"/>
      <c r="CD68" s="73"/>
      <c r="CE68" s="73"/>
      <c r="CF68" s="75"/>
      <c r="CG68" s="73"/>
      <c r="CH68" s="73"/>
      <c r="CI68" s="73"/>
    </row>
    <row r="69" spans="1:87" x14ac:dyDescent="0.25">
      <c r="A69" s="42" t="s">
        <v>166</v>
      </c>
      <c r="C69" s="15"/>
      <c r="D69" s="16"/>
      <c r="E69" s="68"/>
      <c r="G69" s="59">
        <v>49</v>
      </c>
      <c r="H69" s="47"/>
      <c r="I69" s="47"/>
      <c r="J69" s="47"/>
      <c r="K69" s="47"/>
      <c r="L69" s="47"/>
      <c r="M69" s="47"/>
      <c r="N69" s="47"/>
      <c r="O69" s="47"/>
      <c r="P69" s="62">
        <v>980.5</v>
      </c>
      <c r="Q69" s="47">
        <v>127433.65</v>
      </c>
      <c r="R69" s="47">
        <v>551.40000000000009</v>
      </c>
      <c r="T69" s="22">
        <v>1531.9</v>
      </c>
      <c r="U69" s="53">
        <f t="shared" si="62"/>
        <v>0.64005483386644035</v>
      </c>
      <c r="V69" s="47">
        <f t="shared" si="63"/>
        <v>3268.9999999999995</v>
      </c>
      <c r="W69" s="47"/>
      <c r="X69" s="47">
        <v>4800.8999999999996</v>
      </c>
      <c r="Z69" s="69"/>
      <c r="AA69" s="69"/>
      <c r="AB69" s="21"/>
      <c r="AC69" s="70"/>
      <c r="AE69" s="21"/>
      <c r="AF69" s="21"/>
      <c r="AG69" s="47"/>
      <c r="AH69" s="47"/>
      <c r="AI69" s="21"/>
      <c r="AO69" s="33"/>
      <c r="AS69" s="71"/>
      <c r="AT69" s="71"/>
      <c r="AU69" s="71"/>
      <c r="AV69" s="71"/>
      <c r="AW69" s="71"/>
      <c r="AX69" s="71"/>
      <c r="AY69" s="71"/>
      <c r="AZ69" s="71"/>
      <c r="BA69" s="38"/>
      <c r="BB69" s="67"/>
      <c r="BC69" s="67"/>
    </row>
    <row r="70" spans="1:87" x14ac:dyDescent="0.25">
      <c r="A70" s="42" t="s">
        <v>167</v>
      </c>
      <c r="C70" s="76"/>
      <c r="D70" s="16"/>
      <c r="E70" s="68"/>
      <c r="G70" s="59">
        <v>50</v>
      </c>
      <c r="H70" s="47"/>
      <c r="I70" s="47"/>
      <c r="J70" s="47"/>
      <c r="L70" s="47"/>
      <c r="M70" s="47"/>
      <c r="N70" s="47"/>
      <c r="O70" s="47"/>
      <c r="P70" s="62">
        <v>997</v>
      </c>
      <c r="Q70" s="47">
        <v>128430.65</v>
      </c>
      <c r="R70" s="47">
        <v>569</v>
      </c>
      <c r="T70" s="77">
        <v>1566</v>
      </c>
      <c r="U70" s="53">
        <f t="shared" si="62"/>
        <v>0.63665389527458494</v>
      </c>
      <c r="V70" s="47">
        <f t="shared" si="63"/>
        <v>3338</v>
      </c>
      <c r="W70" s="47"/>
      <c r="X70" s="47">
        <v>4904</v>
      </c>
      <c r="Z70" s="78"/>
      <c r="AC70" s="79"/>
      <c r="AD70" s="73"/>
      <c r="AE70" s="80"/>
      <c r="AF70" s="80"/>
      <c r="AG70" s="47"/>
      <c r="AH70" s="80"/>
      <c r="AO70" s="33"/>
      <c r="BB70" s="67"/>
      <c r="BC70" s="67"/>
      <c r="BH70" s="73"/>
      <c r="BI70" s="73"/>
      <c r="BJ70" s="73"/>
      <c r="BK70" s="73"/>
      <c r="BL70" s="75"/>
      <c r="BM70" s="73"/>
      <c r="BN70" s="73"/>
      <c r="BO70" s="73"/>
      <c r="BP70" s="73"/>
      <c r="BQ70" s="73"/>
      <c r="BR70" s="73"/>
      <c r="BS70" s="73"/>
      <c r="BT70" s="75"/>
      <c r="BU70" s="73"/>
      <c r="BV70" s="73"/>
      <c r="BW70" s="73"/>
      <c r="BX70" s="73"/>
      <c r="BY70" s="73"/>
      <c r="BZ70" s="75"/>
      <c r="CA70" s="73"/>
      <c r="CB70" s="73"/>
      <c r="CC70" s="73"/>
      <c r="CD70" s="73"/>
      <c r="CE70" s="73"/>
      <c r="CF70" s="75"/>
      <c r="CG70" s="73"/>
      <c r="CH70" s="73"/>
    </row>
    <row r="71" spans="1:87" x14ac:dyDescent="0.25">
      <c r="A71" s="42" t="s">
        <v>168</v>
      </c>
      <c r="C71" s="76"/>
      <c r="D71" s="16"/>
      <c r="E71" s="68"/>
      <c r="G71" s="59">
        <v>51</v>
      </c>
      <c r="H71" s="47"/>
      <c r="I71" s="47"/>
      <c r="J71" s="47"/>
      <c r="L71" s="47"/>
      <c r="M71" s="47"/>
      <c r="N71" s="47"/>
      <c r="P71" s="62">
        <v>1096.3</v>
      </c>
      <c r="Q71" s="47">
        <v>129526.95</v>
      </c>
      <c r="R71" s="47">
        <v>583</v>
      </c>
      <c r="T71" s="77">
        <v>1679.3</v>
      </c>
      <c r="U71" s="53">
        <f t="shared" si="62"/>
        <v>0.65283153694991958</v>
      </c>
      <c r="V71" s="47">
        <f t="shared" si="63"/>
        <v>3410</v>
      </c>
      <c r="W71" s="47"/>
      <c r="X71" s="47">
        <v>5089.3</v>
      </c>
      <c r="Z71" s="81"/>
      <c r="AC71" s="82"/>
      <c r="AD71" s="73"/>
      <c r="AE71" s="70"/>
      <c r="AF71" s="70"/>
      <c r="AG71" s="47"/>
      <c r="AH71" s="80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M71" s="73"/>
      <c r="BN71" s="73"/>
      <c r="BO71" s="73"/>
      <c r="BP71" s="73"/>
      <c r="BQ71" s="73"/>
      <c r="BR71" s="73"/>
      <c r="BS71" s="73"/>
      <c r="BT71" s="75"/>
      <c r="BU71" s="73"/>
      <c r="BV71" s="73"/>
      <c r="BW71" s="73"/>
      <c r="BX71" s="73"/>
      <c r="BY71" s="73"/>
      <c r="BZ71" s="75"/>
      <c r="CA71" s="73"/>
      <c r="CB71" s="73"/>
      <c r="CC71" s="73"/>
      <c r="CD71" s="73"/>
      <c r="CE71" s="73"/>
      <c r="CF71" s="75"/>
      <c r="CG71" s="73"/>
      <c r="CH71" s="73"/>
    </row>
    <row r="72" spans="1:87" x14ac:dyDescent="0.25">
      <c r="A72" s="14" t="s">
        <v>169</v>
      </c>
      <c r="C72" s="76"/>
      <c r="D72" s="16"/>
      <c r="E72" s="83">
        <v>2.2499999999999999E-2</v>
      </c>
      <c r="G72" s="59">
        <v>53</v>
      </c>
      <c r="P72" s="62">
        <v>1180.2</v>
      </c>
      <c r="Q72" s="47">
        <v>130707.15</v>
      </c>
      <c r="R72" s="47">
        <v>601.20000000000005</v>
      </c>
      <c r="T72" s="77">
        <v>1781.4</v>
      </c>
      <c r="U72" s="53">
        <f t="shared" si="62"/>
        <v>0.66251263051532505</v>
      </c>
      <c r="V72" s="47">
        <f t="shared" si="63"/>
        <v>3484.9999999999995</v>
      </c>
      <c r="W72" s="47"/>
      <c r="X72" s="47">
        <v>5266.4</v>
      </c>
      <c r="Z72" s="84"/>
      <c r="AC72" s="82"/>
      <c r="AE72" s="70"/>
      <c r="AF72" s="70"/>
      <c r="AG72" s="47"/>
      <c r="AH72" s="80"/>
      <c r="BB72" s="67"/>
      <c r="BC72" s="67"/>
      <c r="BH72" s="73"/>
      <c r="BI72" s="73"/>
      <c r="BJ72" s="73"/>
      <c r="BK72" s="73"/>
      <c r="BL72" s="75"/>
      <c r="BM72" s="73"/>
      <c r="BN72" s="73"/>
      <c r="BP72" s="73"/>
      <c r="BQ72" s="73"/>
      <c r="BR72" s="73"/>
      <c r="BS72" s="73"/>
    </row>
    <row r="73" spans="1:87" x14ac:dyDescent="0.25">
      <c r="P73" s="85" t="s">
        <v>170</v>
      </c>
      <c r="Q73" s="85"/>
      <c r="R73" s="85"/>
    </row>
  </sheetData>
  <mergeCells count="1">
    <mergeCell ref="P73:R7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Javier</dc:creator>
  <cp:lastModifiedBy>Sabrina Javier</cp:lastModifiedBy>
  <dcterms:created xsi:type="dcterms:W3CDTF">2020-11-19T23:50:33Z</dcterms:created>
  <dcterms:modified xsi:type="dcterms:W3CDTF">2020-11-19T23:51:11Z</dcterms:modified>
</cp:coreProperties>
</file>