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6470" windowHeight="14700"/>
  </bookViews>
  <sheets>
    <sheet name="DATA" sheetId="4" r:id="rId1"/>
  </sheets>
  <externalReferences>
    <externalReference r:id="rId2"/>
    <externalReference r:id="rId3"/>
  </externalReferences>
  <definedNames>
    <definedName name="asdf">#REF!</definedName>
    <definedName name="Cap_Detail_Total">'[2]Capital_Num Detail'!$A$167:$IV$167</definedName>
    <definedName name="Oil_Revenue">#REF!</definedName>
    <definedName name="Oil_Revenue2">#REF!</definedName>
    <definedName name="Op_Detail_Total">'[2]Operating_Num Detail'!$A$168:$IV$168</definedName>
    <definedName name="Op_GF_Group_Total">'[2]Operating_Num Detail'!$A$170:$IV$170</definedName>
    <definedName name="_xlnm.Print_Area" localSheetId="0">DATA!$A$1:$T$52</definedName>
    <definedName name="_xlnm.Print_Titles" localSheetId="0">DATA!$1:$1</definedName>
    <definedName name="Rate_of_Return">#REF!</definedName>
    <definedName name="TABLE" localSheetId="0">DATA!$A$1:$T$44</definedName>
    <definedName name="whatever">#REF!</definedName>
  </definedNames>
  <calcPr calcId="125725"/>
</workbook>
</file>

<file path=xl/calcChain.xml><?xml version="1.0" encoding="utf-8"?>
<calcChain xmlns="http://schemas.openxmlformats.org/spreadsheetml/2006/main">
  <c r="AH68" i="4"/>
  <c r="T68"/>
  <c r="Q68"/>
  <c r="I68"/>
  <c r="AH67"/>
  <c r="T67"/>
  <c r="Q67"/>
  <c r="I67"/>
  <c r="AH66"/>
  <c r="T66"/>
  <c r="Q66"/>
  <c r="I66"/>
  <c r="AH65"/>
  <c r="T65"/>
  <c r="Q65"/>
  <c r="I65"/>
  <c r="AH64"/>
  <c r="T64"/>
  <c r="Q64"/>
  <c r="I64"/>
  <c r="AH63"/>
  <c r="T63"/>
  <c r="Q63"/>
  <c r="I63"/>
  <c r="AH62"/>
  <c r="T62"/>
  <c r="Q62"/>
  <c r="I62"/>
  <c r="AH61"/>
  <c r="AR61" s="1"/>
  <c r="T61"/>
  <c r="Q61"/>
  <c r="I61"/>
  <c r="AL60"/>
  <c r="AK60"/>
  <c r="AJ60"/>
  <c r="X60"/>
  <c r="Z60" s="1"/>
  <c r="T60"/>
  <c r="S60"/>
  <c r="AM60" s="1"/>
  <c r="Q60"/>
  <c r="I60"/>
  <c r="AL59"/>
  <c r="AK59"/>
  <c r="AJ59"/>
  <c r="X59"/>
  <c r="Z59" s="1"/>
  <c r="S59"/>
  <c r="AM59" s="1"/>
  <c r="R59"/>
  <c r="Q59"/>
  <c r="I59"/>
  <c r="D59"/>
  <c r="F59" s="1"/>
  <c r="AL58"/>
  <c r="AK58"/>
  <c r="AJ58"/>
  <c r="X58"/>
  <c r="Z58" s="1"/>
  <c r="S58"/>
  <c r="AM58" s="1"/>
  <c r="F58"/>
  <c r="AF58" s="1"/>
  <c r="AP58" s="1"/>
  <c r="E58"/>
  <c r="AM57"/>
  <c r="AL57"/>
  <c r="AK57"/>
  <c r="AJ57"/>
  <c r="Z57"/>
  <c r="X57"/>
  <c r="T57"/>
  <c r="S57"/>
  <c r="F57"/>
  <c r="AG57" s="1"/>
  <c r="AQ57" s="1"/>
  <c r="E57"/>
  <c r="AL56"/>
  <c r="AK56"/>
  <c r="AJ56"/>
  <c r="X56"/>
  <c r="Z56" s="1"/>
  <c r="S56"/>
  <c r="AM56" s="1"/>
  <c r="F56"/>
  <c r="AF56" s="1"/>
  <c r="AP56" s="1"/>
  <c r="E56"/>
  <c r="AM55"/>
  <c r="AL55"/>
  <c r="AK55"/>
  <c r="AJ55"/>
  <c r="X55"/>
  <c r="Z55" s="1"/>
  <c r="AA55" s="1"/>
  <c r="AC55" s="1"/>
  <c r="M55"/>
  <c r="O55" s="1"/>
  <c r="F55"/>
  <c r="AG55" s="1"/>
  <c r="AQ55" s="1"/>
  <c r="E55"/>
  <c r="AM54"/>
  <c r="AL54"/>
  <c r="AK54"/>
  <c r="AJ54"/>
  <c r="X54"/>
  <c r="Z54" s="1"/>
  <c r="AA54" s="1"/>
  <c r="AC54" s="1"/>
  <c r="O54"/>
  <c r="T54" s="1"/>
  <c r="F54"/>
  <c r="AH54" s="1"/>
  <c r="AR54" s="1"/>
  <c r="E54"/>
  <c r="AM53"/>
  <c r="AL53"/>
  <c r="AK53"/>
  <c r="AJ53"/>
  <c r="X53"/>
  <c r="Z53" s="1"/>
  <c r="AA53" s="1"/>
  <c r="AC53" s="1"/>
  <c r="O53"/>
  <c r="T53" s="1"/>
  <c r="F53"/>
  <c r="AH53" s="1"/>
  <c r="AR53" s="1"/>
  <c r="E53"/>
  <c r="AM52"/>
  <c r="AL52"/>
  <c r="AK52"/>
  <c r="AJ52"/>
  <c r="X52"/>
  <c r="Z52" s="1"/>
  <c r="AA52" s="1"/>
  <c r="AC52" s="1"/>
  <c r="O52"/>
  <c r="T52" s="1"/>
  <c r="F52"/>
  <c r="AH52" s="1"/>
  <c r="AR52" s="1"/>
  <c r="E52"/>
  <c r="AM51"/>
  <c r="AL51"/>
  <c r="AK51"/>
  <c r="AJ51"/>
  <c r="X51"/>
  <c r="Z51" s="1"/>
  <c r="AA51" s="1"/>
  <c r="AC51" s="1"/>
  <c r="O51"/>
  <c r="T51" s="1"/>
  <c r="F51"/>
  <c r="AH51" s="1"/>
  <c r="AR51" s="1"/>
  <c r="E51"/>
  <c r="AL50"/>
  <c r="AK50"/>
  <c r="AJ50"/>
  <c r="AE50"/>
  <c r="AO50" s="1"/>
  <c r="X50"/>
  <c r="Z50" s="1"/>
  <c r="O50"/>
  <c r="F50"/>
  <c r="AF50" s="1"/>
  <c r="AP50" s="1"/>
  <c r="E50"/>
  <c r="AL49"/>
  <c r="AK49"/>
  <c r="AJ49"/>
  <c r="AG49"/>
  <c r="AQ49" s="1"/>
  <c r="AA49"/>
  <c r="AC49" s="1"/>
  <c r="X49"/>
  <c r="Z49" s="1"/>
  <c r="O49"/>
  <c r="F49"/>
  <c r="AF49" s="1"/>
  <c r="AP49" s="1"/>
  <c r="E49"/>
  <c r="AL48"/>
  <c r="AK48"/>
  <c r="AJ48"/>
  <c r="AG48"/>
  <c r="AQ48" s="1"/>
  <c r="AA48"/>
  <c r="AC48" s="1"/>
  <c r="X48"/>
  <c r="Z48" s="1"/>
  <c r="O48"/>
  <c r="F48"/>
  <c r="AF48" s="1"/>
  <c r="AP48" s="1"/>
  <c r="E48"/>
  <c r="AL47"/>
  <c r="AK47"/>
  <c r="AJ47"/>
  <c r="AA47"/>
  <c r="AC47" s="1"/>
  <c r="X47"/>
  <c r="Z47" s="1"/>
  <c r="O47"/>
  <c r="M47"/>
  <c r="F47"/>
  <c r="AF47" s="1"/>
  <c r="AP47" s="1"/>
  <c r="E47"/>
  <c r="AL46"/>
  <c r="AK46"/>
  <c r="AJ46"/>
  <c r="AA46"/>
  <c r="AC46" s="1"/>
  <c r="X46"/>
  <c r="Z46" s="1"/>
  <c r="O46"/>
  <c r="S46" s="1"/>
  <c r="F46"/>
  <c r="AG46" s="1"/>
  <c r="AQ46" s="1"/>
  <c r="E46"/>
  <c r="AL45"/>
  <c r="AK45"/>
  <c r="AJ45"/>
  <c r="AA45"/>
  <c r="AC45" s="1"/>
  <c r="X45"/>
  <c r="Z45" s="1"/>
  <c r="O45"/>
  <c r="S45" s="1"/>
  <c r="F45"/>
  <c r="AG45" s="1"/>
  <c r="AQ45" s="1"/>
  <c r="E45"/>
  <c r="AL44"/>
  <c r="AK44"/>
  <c r="AJ44"/>
  <c r="AA44"/>
  <c r="AC44" s="1"/>
  <c r="X44"/>
  <c r="Z44" s="1"/>
  <c r="O44"/>
  <c r="S44" s="1"/>
  <c r="AM44" s="1"/>
  <c r="F44"/>
  <c r="E44"/>
  <c r="AL43"/>
  <c r="AK43"/>
  <c r="AJ43"/>
  <c r="AA43"/>
  <c r="AC43" s="1"/>
  <c r="X43"/>
  <c r="Z43" s="1"/>
  <c r="O43"/>
  <c r="S43" s="1"/>
  <c r="AM43" s="1"/>
  <c r="F43"/>
  <c r="E43"/>
  <c r="AL42"/>
  <c r="AK42"/>
  <c r="AJ42"/>
  <c r="AC42"/>
  <c r="X42"/>
  <c r="Z42" s="1"/>
  <c r="O42"/>
  <c r="F42"/>
  <c r="AG42" s="1"/>
  <c r="AQ42" s="1"/>
  <c r="E42"/>
  <c r="AL41"/>
  <c r="AK41"/>
  <c r="AJ41"/>
  <c r="AE41"/>
  <c r="AO41" s="1"/>
  <c r="AA41"/>
  <c r="AC41" s="1"/>
  <c r="X41"/>
  <c r="Z41" s="1"/>
  <c r="O41"/>
  <c r="S41" s="1"/>
  <c r="F41"/>
  <c r="AF41" s="1"/>
  <c r="AP41" s="1"/>
  <c r="E41"/>
  <c r="AL40"/>
  <c r="AK40"/>
  <c r="AJ40"/>
  <c r="AA40"/>
  <c r="AC40" s="1"/>
  <c r="X40"/>
  <c r="Z40" s="1"/>
  <c r="O40"/>
  <c r="F40"/>
  <c r="AF40" s="1"/>
  <c r="AP40" s="1"/>
  <c r="E40"/>
  <c r="AL39"/>
  <c r="AK39"/>
  <c r="AJ39"/>
  <c r="AA39"/>
  <c r="AC39" s="1"/>
  <c r="X39"/>
  <c r="Z39" s="1"/>
  <c r="S39"/>
  <c r="O39"/>
  <c r="F39"/>
  <c r="AF39" s="1"/>
  <c r="AP39" s="1"/>
  <c r="E39"/>
  <c r="AL38"/>
  <c r="AK38"/>
  <c r="AJ38"/>
  <c r="AG38"/>
  <c r="AQ38" s="1"/>
  <c r="AA38"/>
  <c r="AC38" s="1"/>
  <c r="X38"/>
  <c r="Z38" s="1"/>
  <c r="O38"/>
  <c r="F38"/>
  <c r="AF38" s="1"/>
  <c r="AP38" s="1"/>
  <c r="E38"/>
  <c r="AL37"/>
  <c r="AK37"/>
  <c r="AJ37"/>
  <c r="AE37"/>
  <c r="AO37" s="1"/>
  <c r="AA37"/>
  <c r="AC37" s="1"/>
  <c r="X37"/>
  <c r="Z37" s="1"/>
  <c r="O37"/>
  <c r="S37" s="1"/>
  <c r="F37"/>
  <c r="AF37" s="1"/>
  <c r="AP37" s="1"/>
  <c r="E37"/>
  <c r="AL36"/>
  <c r="AK36"/>
  <c r="AJ36"/>
  <c r="AA36"/>
  <c r="AC36" s="1"/>
  <c r="X36"/>
  <c r="Z36" s="1"/>
  <c r="O36"/>
  <c r="F36"/>
  <c r="AF36" s="1"/>
  <c r="AP36" s="1"/>
  <c r="E36"/>
  <c r="AL35"/>
  <c r="AK35"/>
  <c r="AJ35"/>
  <c r="AA35"/>
  <c r="AC35" s="1"/>
  <c r="X35"/>
  <c r="Z35" s="1"/>
  <c r="S35"/>
  <c r="O35"/>
  <c r="F35"/>
  <c r="AF35" s="1"/>
  <c r="AP35" s="1"/>
  <c r="E35"/>
  <c r="AL34"/>
  <c r="AJ34"/>
  <c r="AA34"/>
  <c r="AC34" s="1"/>
  <c r="W34"/>
  <c r="AK34" s="1"/>
  <c r="O34"/>
  <c r="S34" s="1"/>
  <c r="F34"/>
  <c r="AE34" s="1"/>
  <c r="AO34" s="1"/>
  <c r="E34"/>
  <c r="AL33"/>
  <c r="AK33"/>
  <c r="AJ33"/>
  <c r="AA33"/>
  <c r="AC33" s="1"/>
  <c r="X33"/>
  <c r="Z33" s="1"/>
  <c r="O33"/>
  <c r="S33" s="1"/>
  <c r="AM33" s="1"/>
  <c r="F33"/>
  <c r="E33"/>
  <c r="AL32"/>
  <c r="AK32"/>
  <c r="AJ32"/>
  <c r="AA32"/>
  <c r="AC32" s="1"/>
  <c r="X32"/>
  <c r="Z32" s="1"/>
  <c r="O32"/>
  <c r="S32" s="1"/>
  <c r="F32"/>
  <c r="AG32" s="1"/>
  <c r="AQ32" s="1"/>
  <c r="E32"/>
  <c r="AL31"/>
  <c r="AK31"/>
  <c r="AJ31"/>
  <c r="AA31"/>
  <c r="AC31" s="1"/>
  <c r="X31"/>
  <c r="Z31" s="1"/>
  <c r="O31"/>
  <c r="S31" s="1"/>
  <c r="F31"/>
  <c r="AG31" s="1"/>
  <c r="AQ31" s="1"/>
  <c r="E31"/>
  <c r="AL30"/>
  <c r="AK30"/>
  <c r="AJ30"/>
  <c r="AC30"/>
  <c r="X30"/>
  <c r="Z30" s="1"/>
  <c r="O30"/>
  <c r="F30"/>
  <c r="AG30" s="1"/>
  <c r="AQ30" s="1"/>
  <c r="E30"/>
  <c r="AL29"/>
  <c r="AK29"/>
  <c r="AJ29"/>
  <c r="AG29"/>
  <c r="AQ29" s="1"/>
  <c r="AC29"/>
  <c r="X29"/>
  <c r="Z29" s="1"/>
  <c r="O29"/>
  <c r="S29" s="1"/>
  <c r="G29"/>
  <c r="F29"/>
  <c r="AF29" s="1"/>
  <c r="AP29" s="1"/>
  <c r="E29"/>
  <c r="AL28"/>
  <c r="AK28"/>
  <c r="AJ28"/>
  <c r="AA28"/>
  <c r="AC28" s="1"/>
  <c r="X28"/>
  <c r="Z28" s="1"/>
  <c r="O28"/>
  <c r="G28"/>
  <c r="F28"/>
  <c r="AF28" s="1"/>
  <c r="AP28" s="1"/>
  <c r="E28"/>
  <c r="AL27"/>
  <c r="AK27"/>
  <c r="AJ27"/>
  <c r="AC27"/>
  <c r="X27"/>
  <c r="Z27" s="1"/>
  <c r="O27"/>
  <c r="G27"/>
  <c r="F27"/>
  <c r="AG27" s="1"/>
  <c r="AQ27" s="1"/>
  <c r="E27"/>
  <c r="AL26"/>
  <c r="AK26"/>
  <c r="AJ26"/>
  <c r="AC26"/>
  <c r="X26"/>
  <c r="Z26" s="1"/>
  <c r="O26"/>
  <c r="G26"/>
  <c r="F26"/>
  <c r="AG26" s="1"/>
  <c r="AQ26" s="1"/>
  <c r="E26"/>
  <c r="AL25"/>
  <c r="AK25"/>
  <c r="AJ25"/>
  <c r="AC25"/>
  <c r="AA25"/>
  <c r="Z25"/>
  <c r="X25"/>
  <c r="O25"/>
  <c r="S25" s="1"/>
  <c r="G25"/>
  <c r="F25"/>
  <c r="AG25" s="1"/>
  <c r="AQ25" s="1"/>
  <c r="E25"/>
  <c r="AL24"/>
  <c r="AK24"/>
  <c r="AJ24"/>
  <c r="AA24"/>
  <c r="AC24" s="1"/>
  <c r="X24"/>
  <c r="Z24" s="1"/>
  <c r="O24"/>
  <c r="F24"/>
  <c r="AF24" s="1"/>
  <c r="AP24" s="1"/>
  <c r="E24"/>
  <c r="AL23"/>
  <c r="AK23"/>
  <c r="AJ23"/>
  <c r="AC23"/>
  <c r="Z23"/>
  <c r="X23"/>
  <c r="O23"/>
  <c r="S23" s="1"/>
  <c r="F23"/>
  <c r="AF23" s="1"/>
  <c r="AP23" s="1"/>
  <c r="E23"/>
  <c r="AL22"/>
  <c r="AK22"/>
  <c r="AJ22"/>
  <c r="AC22"/>
  <c r="X22"/>
  <c r="Z22" s="1"/>
  <c r="O22"/>
  <c r="F22"/>
  <c r="AG22" s="1"/>
  <c r="AQ22" s="1"/>
  <c r="E22"/>
  <c r="AL21"/>
  <c r="AK21"/>
  <c r="AJ21"/>
  <c r="AC21"/>
  <c r="Z21"/>
  <c r="X21"/>
  <c r="O21"/>
  <c r="S21" s="1"/>
  <c r="F21"/>
  <c r="AF21" s="1"/>
  <c r="AP21" s="1"/>
  <c r="E21"/>
  <c r="AL20"/>
  <c r="AK20"/>
  <c r="AJ20"/>
  <c r="AF20"/>
  <c r="AP20" s="1"/>
  <c r="AC20"/>
  <c r="X20"/>
  <c r="Z20" s="1"/>
  <c r="O20"/>
  <c r="F20"/>
  <c r="AG20" s="1"/>
  <c r="AQ20" s="1"/>
  <c r="E20"/>
  <c r="AL19"/>
  <c r="AK19"/>
  <c r="AJ19"/>
  <c r="AC19"/>
  <c r="Z19"/>
  <c r="X19"/>
  <c r="O19"/>
  <c r="S19" s="1"/>
  <c r="F19"/>
  <c r="AF19" s="1"/>
  <c r="AP19" s="1"/>
  <c r="E19"/>
  <c r="AL18"/>
  <c r="AK18"/>
  <c r="AJ18"/>
  <c r="AC18"/>
  <c r="X18"/>
  <c r="Z18" s="1"/>
  <c r="O18"/>
  <c r="F18"/>
  <c r="AG18" s="1"/>
  <c r="AQ18" s="1"/>
  <c r="E18"/>
  <c r="AC17"/>
  <c r="X17"/>
  <c r="Z17" s="1"/>
  <c r="O17"/>
  <c r="S17" s="1"/>
  <c r="T17" s="1"/>
  <c r="F17"/>
  <c r="E17"/>
  <c r="AC16"/>
  <c r="X16"/>
  <c r="Z16" s="1"/>
  <c r="O16"/>
  <c r="F16"/>
  <c r="E16"/>
  <c r="AC15"/>
  <c r="Z15"/>
  <c r="X15"/>
  <c r="O15"/>
  <c r="S15" s="1"/>
  <c r="T15" s="1"/>
  <c r="F15"/>
  <c r="E15"/>
  <c r="AC14"/>
  <c r="X14"/>
  <c r="Z14" s="1"/>
  <c r="O14"/>
  <c r="F14"/>
  <c r="E14"/>
  <c r="AC13"/>
  <c r="X13"/>
  <c r="Z13" s="1"/>
  <c r="O13"/>
  <c r="S13" s="1"/>
  <c r="T13" s="1"/>
  <c r="F13"/>
  <c r="E13"/>
  <c r="AC12"/>
  <c r="X12"/>
  <c r="Z12" s="1"/>
  <c r="O12"/>
  <c r="F12"/>
  <c r="E12"/>
  <c r="AC11"/>
  <c r="Z11"/>
  <c r="X11"/>
  <c r="O11"/>
  <c r="S11" s="1"/>
  <c r="T11" s="1"/>
  <c r="F11"/>
  <c r="E11"/>
  <c r="AC10"/>
  <c r="X10"/>
  <c r="Z10" s="1"/>
  <c r="O10"/>
  <c r="F10"/>
  <c r="E10"/>
  <c r="AC9"/>
  <c r="X9"/>
  <c r="Z9" s="1"/>
  <c r="O9"/>
  <c r="S9" s="1"/>
  <c r="T9" s="1"/>
  <c r="F9"/>
  <c r="E9"/>
  <c r="AC8"/>
  <c r="X8"/>
  <c r="Z8" s="1"/>
  <c r="O8"/>
  <c r="F8"/>
  <c r="E8"/>
  <c r="AC7"/>
  <c r="Z7"/>
  <c r="X7"/>
  <c r="O7"/>
  <c r="S7" s="1"/>
  <c r="T7" s="1"/>
  <c r="F7"/>
  <c r="E7"/>
  <c r="AC6"/>
  <c r="X6"/>
  <c r="Z6" s="1"/>
  <c r="O6"/>
  <c r="F6"/>
  <c r="E6"/>
  <c r="AC5"/>
  <c r="X5"/>
  <c r="Z5" s="1"/>
  <c r="O5"/>
  <c r="S5" s="1"/>
  <c r="T5" s="1"/>
  <c r="F5"/>
  <c r="E5"/>
  <c r="AC4"/>
  <c r="X4"/>
  <c r="Z4" s="1"/>
  <c r="O4"/>
  <c r="F4"/>
  <c r="AC3"/>
  <c r="X3"/>
  <c r="Z3" s="1"/>
  <c r="O3"/>
  <c r="AC2"/>
  <c r="Z2"/>
  <c r="X2"/>
  <c r="P2"/>
  <c r="P3" s="1"/>
  <c r="P4" s="1"/>
  <c r="P5" s="1"/>
  <c r="P6" s="1"/>
  <c r="P7" s="1"/>
  <c r="P8" s="1"/>
  <c r="P9" s="1"/>
  <c r="P10" s="1"/>
  <c r="P11" s="1"/>
  <c r="P12" s="1"/>
  <c r="P13" s="1"/>
  <c r="P14" s="1"/>
  <c r="P15" s="1"/>
  <c r="P16" s="1"/>
  <c r="P17" s="1"/>
  <c r="P18" s="1"/>
  <c r="P19" s="1"/>
  <c r="P20" s="1"/>
  <c r="P21" s="1"/>
  <c r="P22" s="1"/>
  <c r="P23" s="1"/>
  <c r="P24" s="1"/>
  <c r="P25" s="1"/>
  <c r="P26" s="1"/>
  <c r="P27" s="1"/>
  <c r="P28" s="1"/>
  <c r="P29" s="1"/>
  <c r="P30" s="1"/>
  <c r="P31" s="1"/>
  <c r="P32" s="1"/>
  <c r="P33" s="1"/>
  <c r="P34" s="1"/>
  <c r="P35" s="1"/>
  <c r="P36" s="1"/>
  <c r="P37" s="1"/>
  <c r="P38" s="1"/>
  <c r="P39" s="1"/>
  <c r="P40" s="1"/>
  <c r="P41" s="1"/>
  <c r="P42" s="1"/>
  <c r="P43" s="1"/>
  <c r="P44" s="1"/>
  <c r="P45" s="1"/>
  <c r="P46" s="1"/>
  <c r="P47" s="1"/>
  <c r="P48" s="1"/>
  <c r="P49" s="1"/>
  <c r="P50" s="1"/>
  <c r="P51" s="1"/>
  <c r="P52" s="1"/>
  <c r="P53" s="1"/>
  <c r="P54" s="1"/>
  <c r="P55" s="1"/>
  <c r="P56" s="1"/>
  <c r="P57" s="1"/>
  <c r="P58" s="1"/>
  <c r="P59" s="1"/>
  <c r="P60" s="1"/>
  <c r="P61" s="1"/>
  <c r="P62" s="1"/>
  <c r="P63" s="1"/>
  <c r="P64" s="1"/>
  <c r="P65" s="1"/>
  <c r="P66" s="1"/>
  <c r="P67" s="1"/>
  <c r="P68" s="1"/>
  <c r="O2"/>
  <c r="S2" s="1"/>
  <c r="T2" s="1"/>
  <c r="AG35" l="1"/>
  <c r="AQ35" s="1"/>
  <c r="AE36"/>
  <c r="AO36" s="1"/>
  <c r="AG39"/>
  <c r="AQ39" s="1"/>
  <c r="AE40"/>
  <c r="AO40" s="1"/>
  <c r="AG51"/>
  <c r="AQ51" s="1"/>
  <c r="AG52"/>
  <c r="AQ52" s="1"/>
  <c r="AG53"/>
  <c r="AQ53" s="1"/>
  <c r="AG54"/>
  <c r="AQ54" s="1"/>
  <c r="AF55"/>
  <c r="AP55" s="1"/>
  <c r="AH57"/>
  <c r="AR57" s="1"/>
  <c r="AF18"/>
  <c r="AP18" s="1"/>
  <c r="AF22"/>
  <c r="AP22" s="1"/>
  <c r="AE24"/>
  <c r="AO24" s="1"/>
  <c r="AG24"/>
  <c r="AQ24" s="1"/>
  <c r="AF25"/>
  <c r="AP25" s="1"/>
  <c r="AE29"/>
  <c r="AO29" s="1"/>
  <c r="AF30"/>
  <c r="AP30" s="1"/>
  <c r="X34"/>
  <c r="Z34" s="1"/>
  <c r="AE35"/>
  <c r="AO35" s="1"/>
  <c r="AG36"/>
  <c r="AQ36" s="1"/>
  <c r="AG37"/>
  <c r="AQ37" s="1"/>
  <c r="AE38"/>
  <c r="AO38" s="1"/>
  <c r="AE39"/>
  <c r="AO39" s="1"/>
  <c r="AG40"/>
  <c r="AQ40" s="1"/>
  <c r="AG41"/>
  <c r="AQ41" s="1"/>
  <c r="AF42"/>
  <c r="AP42" s="1"/>
  <c r="AE48"/>
  <c r="AO48" s="1"/>
  <c r="AE49"/>
  <c r="AO49" s="1"/>
  <c r="AG50"/>
  <c r="AQ50" s="1"/>
  <c r="AE51"/>
  <c r="AO51" s="1"/>
  <c r="AE52"/>
  <c r="AO52" s="1"/>
  <c r="AE53"/>
  <c r="AO53" s="1"/>
  <c r="AE54"/>
  <c r="AO54" s="1"/>
  <c r="AH55"/>
  <c r="AR55" s="1"/>
  <c r="AB57"/>
  <c r="AC57" s="1"/>
  <c r="AF57"/>
  <c r="AP57" s="1"/>
  <c r="AB60"/>
  <c r="AC60" s="1"/>
  <c r="AM19"/>
  <c r="AH19"/>
  <c r="AR19" s="1"/>
  <c r="T19"/>
  <c r="AM21"/>
  <c r="AH21"/>
  <c r="AR21" s="1"/>
  <c r="T21"/>
  <c r="AM23"/>
  <c r="AH23"/>
  <c r="AR23" s="1"/>
  <c r="T23"/>
  <c r="AM25"/>
  <c r="AH25"/>
  <c r="AR25" s="1"/>
  <c r="T25"/>
  <c r="AM29"/>
  <c r="AH29"/>
  <c r="AR29" s="1"/>
  <c r="T29"/>
  <c r="AM31"/>
  <c r="AH31"/>
  <c r="AR31" s="1"/>
  <c r="T31"/>
  <c r="AM32"/>
  <c r="AH32"/>
  <c r="AR32" s="1"/>
  <c r="T32"/>
  <c r="AM35"/>
  <c r="AH35"/>
  <c r="AR35" s="1"/>
  <c r="AM37"/>
  <c r="AH37"/>
  <c r="AR37" s="1"/>
  <c r="AM39"/>
  <c r="AH39"/>
  <c r="AR39" s="1"/>
  <c r="AM41"/>
  <c r="AH41"/>
  <c r="AR41" s="1"/>
  <c r="AG44"/>
  <c r="AQ44" s="1"/>
  <c r="AE44"/>
  <c r="AO44" s="1"/>
  <c r="AF59"/>
  <c r="AP59" s="1"/>
  <c r="AG59"/>
  <c r="AQ59" s="1"/>
  <c r="AE59"/>
  <c r="AO59" s="1"/>
  <c r="S4"/>
  <c r="T4" s="1"/>
  <c r="S10"/>
  <c r="T10" s="1"/>
  <c r="S12"/>
  <c r="T12" s="1"/>
  <c r="AE19"/>
  <c r="AO19" s="1"/>
  <c r="AG19"/>
  <c r="AQ19" s="1"/>
  <c r="S20"/>
  <c r="AE21"/>
  <c r="AO21" s="1"/>
  <c r="AG21"/>
  <c r="AQ21" s="1"/>
  <c r="S22"/>
  <c r="AE23"/>
  <c r="AO23" s="1"/>
  <c r="AG23"/>
  <c r="AQ23" s="1"/>
  <c r="S24"/>
  <c r="S26"/>
  <c r="AF26"/>
  <c r="AP26" s="1"/>
  <c r="S27"/>
  <c r="AF27"/>
  <c r="AP27" s="1"/>
  <c r="S28"/>
  <c r="AE28"/>
  <c r="AO28" s="1"/>
  <c r="AG28"/>
  <c r="AQ28" s="1"/>
  <c r="S30"/>
  <c r="T30" s="1"/>
  <c r="AF31"/>
  <c r="AP31" s="1"/>
  <c r="AF32"/>
  <c r="AP32" s="1"/>
  <c r="T33"/>
  <c r="AH33"/>
  <c r="AR33" s="1"/>
  <c r="AG34"/>
  <c r="AQ34" s="1"/>
  <c r="T43"/>
  <c r="AH43"/>
  <c r="AR43" s="1"/>
  <c r="AF44"/>
  <c r="AP44" s="1"/>
  <c r="AG33"/>
  <c r="AQ33" s="1"/>
  <c r="AE33"/>
  <c r="AO33" s="1"/>
  <c r="AM34"/>
  <c r="AH34"/>
  <c r="AR34" s="1"/>
  <c r="AG43"/>
  <c r="AQ43" s="1"/>
  <c r="AE43"/>
  <c r="AO43" s="1"/>
  <c r="AM45"/>
  <c r="AH45"/>
  <c r="AR45" s="1"/>
  <c r="T45"/>
  <c r="AM46"/>
  <c r="AH46"/>
  <c r="AR46" s="1"/>
  <c r="T46"/>
  <c r="Q55"/>
  <c r="T55"/>
  <c r="S3"/>
  <c r="T3" s="1"/>
  <c r="S6"/>
  <c r="T6" s="1"/>
  <c r="S8"/>
  <c r="T8" s="1"/>
  <c r="S14"/>
  <c r="T14" s="1"/>
  <c r="S16"/>
  <c r="T16" s="1"/>
  <c r="S18"/>
  <c r="T18" s="1"/>
  <c r="AE18"/>
  <c r="AO18" s="1"/>
  <c r="AE20"/>
  <c r="AO20" s="1"/>
  <c r="AE22"/>
  <c r="AO22" s="1"/>
  <c r="AE25"/>
  <c r="AO25" s="1"/>
  <c r="AE26"/>
  <c r="AO26" s="1"/>
  <c r="AE27"/>
  <c r="AO27" s="1"/>
  <c r="AE30"/>
  <c r="AO30" s="1"/>
  <c r="AE31"/>
  <c r="AO31" s="1"/>
  <c r="AE32"/>
  <c r="AO32" s="1"/>
  <c r="AF33"/>
  <c r="AP33" s="1"/>
  <c r="T34"/>
  <c r="T35"/>
  <c r="S36"/>
  <c r="T37"/>
  <c r="S38"/>
  <c r="T38" s="1"/>
  <c r="T39"/>
  <c r="S40"/>
  <c r="T41"/>
  <c r="S42"/>
  <c r="T42" s="1"/>
  <c r="AF43"/>
  <c r="AP43" s="1"/>
  <c r="T44"/>
  <c r="AH44"/>
  <c r="AR44" s="1"/>
  <c r="AF45"/>
  <c r="AP45" s="1"/>
  <c r="AF46"/>
  <c r="AP46" s="1"/>
  <c r="S47"/>
  <c r="T47" s="1"/>
  <c r="AE47"/>
  <c r="AO47" s="1"/>
  <c r="AG47"/>
  <c r="AQ47" s="1"/>
  <c r="S48"/>
  <c r="S49"/>
  <c r="S50"/>
  <c r="Q51"/>
  <c r="Q52"/>
  <c r="Q53"/>
  <c r="Q54"/>
  <c r="AB56"/>
  <c r="AC56" s="1"/>
  <c r="AE56"/>
  <c r="AO56" s="1"/>
  <c r="AG56"/>
  <c r="AQ56" s="1"/>
  <c r="AB58"/>
  <c r="AC58" s="1"/>
  <c r="AE58"/>
  <c r="AO58" s="1"/>
  <c r="AG58"/>
  <c r="AQ58" s="1"/>
  <c r="AB59"/>
  <c r="AC59" s="1"/>
  <c r="D60"/>
  <c r="F60" s="1"/>
  <c r="AF34"/>
  <c r="AP34" s="1"/>
  <c r="AE42"/>
  <c r="AO42" s="1"/>
  <c r="AE45"/>
  <c r="AO45" s="1"/>
  <c r="AE46"/>
  <c r="AO46" s="1"/>
  <c r="AF51"/>
  <c r="AP51" s="1"/>
  <c r="AF52"/>
  <c r="AP52" s="1"/>
  <c r="AF53"/>
  <c r="AP53" s="1"/>
  <c r="AF54"/>
  <c r="AP54" s="1"/>
  <c r="AE55"/>
  <c r="AO55" s="1"/>
  <c r="T56"/>
  <c r="AH56"/>
  <c r="AR56" s="1"/>
  <c r="AE57"/>
  <c r="AO57" s="1"/>
  <c r="T58"/>
  <c r="AH58"/>
  <c r="AR58" s="1"/>
  <c r="T59"/>
  <c r="AH59"/>
  <c r="AR59" s="1"/>
  <c r="AH60"/>
  <c r="AR60" s="1"/>
  <c r="AM49" l="1"/>
  <c r="AH49"/>
  <c r="AR49" s="1"/>
  <c r="AM40"/>
  <c r="AH40"/>
  <c r="AR40" s="1"/>
  <c r="AM36"/>
  <c r="AH36"/>
  <c r="AR36" s="1"/>
  <c r="AM28"/>
  <c r="AH28"/>
  <c r="AR28" s="1"/>
  <c r="AM27"/>
  <c r="AH27"/>
  <c r="AR27" s="1"/>
  <c r="AM26"/>
  <c r="AH26"/>
  <c r="AR26" s="1"/>
  <c r="AM22"/>
  <c r="AH22"/>
  <c r="AR22" s="1"/>
  <c r="T49"/>
  <c r="T27"/>
  <c r="T22"/>
  <c r="T26"/>
  <c r="AM47"/>
  <c r="AH47"/>
  <c r="AR47" s="1"/>
  <c r="AM42"/>
  <c r="AH42"/>
  <c r="AR42" s="1"/>
  <c r="AM38"/>
  <c r="AH38"/>
  <c r="AR38" s="1"/>
  <c r="AF60"/>
  <c r="AP60" s="1"/>
  <c r="AG60"/>
  <c r="AQ60" s="1"/>
  <c r="AE60"/>
  <c r="AO60" s="1"/>
  <c r="AM50"/>
  <c r="AH50"/>
  <c r="AR50" s="1"/>
  <c r="AA50"/>
  <c r="AC50" s="1"/>
  <c r="AM48"/>
  <c r="AH48"/>
  <c r="AR48" s="1"/>
  <c r="AM18"/>
  <c r="AH18"/>
  <c r="AR18" s="1"/>
  <c r="AM30"/>
  <c r="AH30"/>
  <c r="AR30" s="1"/>
  <c r="AM24"/>
  <c r="AH24"/>
  <c r="AR24" s="1"/>
  <c r="AM20"/>
  <c r="AH20"/>
  <c r="AR20" s="1"/>
  <c r="T50"/>
  <c r="T48"/>
  <c r="T40"/>
  <c r="T36"/>
  <c r="T24"/>
  <c r="T20"/>
  <c r="T28"/>
</calcChain>
</file>

<file path=xl/comments1.xml><?xml version="1.0" encoding="utf-8"?>
<comments xmlns="http://schemas.openxmlformats.org/spreadsheetml/2006/main">
  <authors>
    <author>rob_c</author>
  </authors>
  <commentList>
    <comment ref="C1" authorId="0">
      <text>
        <r>
          <rPr>
            <b/>
            <sz val="8"/>
            <color indexed="81"/>
            <rFont val="Tahoma"/>
            <family val="2"/>
          </rPr>
          <t>rob_c:</t>
        </r>
        <r>
          <rPr>
            <sz val="8"/>
            <color indexed="81"/>
            <rFont val="Tahoma"/>
            <family val="2"/>
          </rPr>
          <t xml:space="preserve">
Source:  Alaska Department of Labor and Workforce Development, Alaska Population Projections 2012 to 2042, downloadable Excel files, Statewide (http://laborstats.alaska.gov/pop/popproj.htm), (Excel file State Projections), Annual Components of Population Change for Alaska, 2012-2042, Baseline End of Period Population Projections,  downloaded August 29, 2014.
</t>
        </r>
      </text>
    </comment>
    <comment ref="D1" authorId="0">
      <text>
        <r>
          <rPr>
            <b/>
            <sz val="8"/>
            <color indexed="81"/>
            <rFont val="Tahoma"/>
            <family val="2"/>
          </rPr>
          <t>rob_c:</t>
        </r>
        <r>
          <rPr>
            <sz val="8"/>
            <color indexed="81"/>
            <rFont val="Tahoma"/>
            <family val="2"/>
          </rPr>
          <t xml:space="preserve">
"Consumer Price Index for Anchorage Municipality &amp; U.S.
Not Seasonally Adjusted
All Items - All.1 Urban Consumers
(CPI-U) 1960-Present"
</t>
        </r>
      </text>
    </comment>
    <comment ref="A2" authorId="0">
      <text>
        <r>
          <rPr>
            <b/>
            <sz val="8"/>
            <color indexed="81"/>
            <rFont val="Tahoma"/>
            <family val="2"/>
          </rPr>
          <t>rob_c:</t>
        </r>
        <r>
          <rPr>
            <sz val="8"/>
            <color indexed="81"/>
            <rFont val="Tahoma"/>
            <family val="2"/>
          </rPr>
          <t xml:space="preserve">
Alaska Statehood January 3, 1959</t>
        </r>
      </text>
    </comment>
    <comment ref="W24" authorId="0">
      <text>
        <r>
          <rPr>
            <b/>
            <sz val="10"/>
            <color indexed="81"/>
            <rFont val="Tahoma"/>
            <family val="2"/>
          </rPr>
          <t>rob_c:</t>
        </r>
        <r>
          <rPr>
            <sz val="10"/>
            <color indexed="81"/>
            <rFont val="Tahoma"/>
            <family val="2"/>
          </rPr>
          <t xml:space="preserve">
supplemental from SLA82</t>
        </r>
      </text>
    </comment>
    <comment ref="AA24" authorId="0">
      <text>
        <r>
          <rPr>
            <b/>
            <sz val="10"/>
            <color indexed="81"/>
            <rFont val="Tahoma"/>
            <family val="2"/>
          </rPr>
          <t>rob_c:</t>
        </r>
        <r>
          <rPr>
            <sz val="10"/>
            <color indexed="81"/>
            <rFont val="Tahoma"/>
            <family val="2"/>
          </rPr>
          <t xml:space="preserve">
900 million GF to Perm Fund</t>
        </r>
      </text>
    </comment>
    <comment ref="G25" authorId="0">
      <text>
        <r>
          <rPr>
            <b/>
            <sz val="10"/>
            <color indexed="81"/>
            <rFont val="Tahoma"/>
            <family val="2"/>
          </rPr>
          <t>rob_c:</t>
        </r>
        <r>
          <rPr>
            <sz val="10"/>
            <color indexed="81"/>
            <rFont val="Tahoma"/>
            <family val="2"/>
          </rPr>
          <t xml:space="preserve">
ANS West Coast not available FY82-86.  Used WTI less $2.50 (average differential to ANS).</t>
        </r>
      </text>
    </comment>
    <comment ref="AA25" authorId="0">
      <text>
        <r>
          <rPr>
            <b/>
            <sz val="10"/>
            <color indexed="81"/>
            <rFont val="Tahoma"/>
            <family val="2"/>
          </rPr>
          <t>rob_c:</t>
        </r>
        <r>
          <rPr>
            <sz val="10"/>
            <color indexed="81"/>
            <rFont val="Tahoma"/>
            <family val="2"/>
          </rPr>
          <t xml:space="preserve">
1.8 billion GF to Perm Fund</t>
        </r>
      </text>
    </comment>
    <comment ref="AA28" authorId="0">
      <text>
        <r>
          <rPr>
            <b/>
            <sz val="10"/>
            <color indexed="81"/>
            <rFont val="Tahoma"/>
            <family val="2"/>
          </rPr>
          <t>rob_c:</t>
        </r>
        <r>
          <rPr>
            <sz val="10"/>
            <color indexed="81"/>
            <rFont val="Tahoma"/>
            <family val="2"/>
          </rPr>
          <t xml:space="preserve">
Power Development Revolving Loan Fund (Sec 313, Ch 171, SLA 84)</t>
        </r>
      </text>
    </comment>
    <comment ref="AA29" authorId="0">
      <text>
        <r>
          <rPr>
            <b/>
            <sz val="10"/>
            <color indexed="81"/>
            <rFont val="Tahoma"/>
            <family val="2"/>
          </rPr>
          <t>rob_c:</t>
        </r>
        <r>
          <rPr>
            <sz val="10"/>
            <color indexed="81"/>
            <rFont val="Tahoma"/>
            <family val="2"/>
          </rPr>
          <t xml:space="preserve">
Loans</t>
        </r>
      </text>
    </comment>
    <comment ref="AA30" authorId="0">
      <text>
        <r>
          <rPr>
            <b/>
            <sz val="10"/>
            <color indexed="81"/>
            <rFont val="Tahoma"/>
            <family val="2"/>
          </rPr>
          <t>rob_c:</t>
        </r>
        <r>
          <rPr>
            <sz val="10"/>
            <color indexed="81"/>
            <rFont val="Tahoma"/>
            <family val="2"/>
          </rPr>
          <t xml:space="preserve">
Scholarship Revolving Loan Fund (Sec, 2, Ch 128, SLA 86)</t>
        </r>
      </text>
    </comment>
    <comment ref="AA31" authorId="0">
      <text>
        <r>
          <rPr>
            <b/>
            <sz val="10"/>
            <color indexed="81"/>
            <rFont val="Tahoma"/>
            <family val="2"/>
          </rPr>
          <t>rob_c:</t>
        </r>
        <r>
          <rPr>
            <sz val="10"/>
            <color indexed="81"/>
            <rFont val="Tahoma"/>
            <family val="2"/>
          </rPr>
          <t xml:space="preserve">
To Statutory Budget Reserve Fund (Ch. 5, FSSLA 87); Repealed in SLA 88.</t>
        </r>
      </text>
    </comment>
    <comment ref="AA32" authorId="0">
      <text>
        <r>
          <rPr>
            <b/>
            <sz val="10"/>
            <color indexed="81"/>
            <rFont val="Tahoma"/>
            <family val="2"/>
          </rPr>
          <t>rob_c:</t>
        </r>
        <r>
          <rPr>
            <sz val="10"/>
            <color indexed="81"/>
            <rFont val="Tahoma"/>
            <family val="2"/>
          </rPr>
          <t xml:space="preserve">
34 million to Science and Tech Endowment (Sec 189, Ch 173, SLA 88)</t>
        </r>
      </text>
    </comment>
    <comment ref="AA33" authorId="0">
      <text>
        <r>
          <rPr>
            <b/>
            <sz val="10"/>
            <color indexed="81"/>
            <rFont val="Tahoma"/>
            <family val="2"/>
          </rPr>
          <t>rob_c:</t>
        </r>
        <r>
          <rPr>
            <sz val="10"/>
            <color indexed="81"/>
            <rFont val="Tahoma"/>
            <family val="2"/>
          </rPr>
          <t xml:space="preserve">
34 million to Science and Tech Endowment (Sec 189, Ch 173, SLA 88)</t>
        </r>
      </text>
    </comment>
    <comment ref="W34" authorId="0">
      <text>
        <r>
          <rPr>
            <b/>
            <sz val="10"/>
            <color indexed="81"/>
            <rFont val="Tahoma"/>
            <family val="2"/>
          </rPr>
          <t xml:space="preserve">rob_c:
</t>
        </r>
        <r>
          <rPr>
            <sz val="10"/>
            <color indexed="81"/>
            <rFont val="Tahoma"/>
            <family val="2"/>
          </rPr>
          <t>$1.5 million for dividends (Sec 3, Ch 197, SLA 90)</t>
        </r>
      </text>
    </comment>
    <comment ref="AA34" authorId="0">
      <text>
        <r>
          <rPr>
            <b/>
            <sz val="10"/>
            <color indexed="81"/>
            <rFont val="Tahoma"/>
            <family val="2"/>
          </rPr>
          <t>rob_c:</t>
        </r>
        <r>
          <rPr>
            <sz val="10"/>
            <color indexed="81"/>
            <rFont val="Tahoma"/>
            <family val="2"/>
          </rPr>
          <t xml:space="preserve">
Remaining $32 million to Science and Tech Endowment (Sec 189, Ch 173, SLA 88); $30 million to Statutory Budget Reserve Fund (Sec 20(a), Ch 209, SLA 90); $696.257 million (GF Balance) to Statutory Budget Reserve Fund (Sec 20(b), Ch 209, SLA 90) - for cash flow purposes the entire balance was not xferred to SBR.  Furthermore, in the subsequent fiscal year, the legislature appropriated the amount necessary to balance the budget from the SBR.  The end result was a </t>
        </r>
      </text>
    </comment>
    <comment ref="AA35" authorId="0">
      <text>
        <r>
          <rPr>
            <b/>
            <sz val="10"/>
            <color indexed="81"/>
            <rFont val="Tahoma"/>
            <family val="2"/>
          </rPr>
          <t>rob_c:</t>
        </r>
        <r>
          <rPr>
            <sz val="10"/>
            <color indexed="81"/>
            <rFont val="Tahoma"/>
            <family val="2"/>
          </rPr>
          <t xml:space="preserve">
$45 million to ILTF (Sec 1, Ch 41, SLA91); $93.1 from SBR to ILTF - net zero xfer(Sec 2, Ch 41, SLA91); $28.5 to Oil and Haz Fund (Sec 20(a), Ch 73, SLA91)</t>
        </r>
      </text>
    </comment>
    <comment ref="AA37" authorId="0">
      <text>
        <r>
          <rPr>
            <b/>
            <sz val="10"/>
            <color indexed="81"/>
            <rFont val="Tahoma"/>
            <family val="2"/>
          </rPr>
          <t>rob_c:</t>
        </r>
        <r>
          <rPr>
            <sz val="10"/>
            <color indexed="81"/>
            <rFont val="Tahoma"/>
            <family val="2"/>
          </rPr>
          <t xml:space="preserve">
Includes $66.9 and $13.2 million to Railbelt Energy Fund (Sec 8(a,b), Ch 19, SLA93); $66.9 from Railbelt to PCE Fund (Sec 8(c ), Ch 19, SLA93)</t>
        </r>
      </text>
    </comment>
    <comment ref="AA38" authorId="0">
      <text>
        <r>
          <rPr>
            <b/>
            <sz val="10"/>
            <color indexed="81"/>
            <rFont val="Tahoma"/>
            <family val="2"/>
          </rPr>
          <t>rob_c:</t>
        </r>
        <r>
          <rPr>
            <sz val="10"/>
            <color indexed="81"/>
            <rFont val="Tahoma"/>
            <family val="2"/>
          </rPr>
          <t xml:space="preserve">
To Mental Health Trust Fund (Sec1, Ch6, FSSLA94)</t>
        </r>
      </text>
    </comment>
    <comment ref="S49" authorId="0">
      <text>
        <r>
          <rPr>
            <b/>
            <sz val="10"/>
            <color indexed="81"/>
            <rFont val="Tahoma"/>
            <family val="2"/>
          </rPr>
          <t>rob_c:</t>
        </r>
        <r>
          <rPr>
            <sz val="10"/>
            <color indexed="81"/>
            <rFont val="Tahoma"/>
            <family val="2"/>
          </rPr>
          <t xml:space="preserve">
PPT effective with retroactivity to last quarter FY06</t>
        </r>
      </text>
    </comment>
    <comment ref="S51" authorId="0">
      <text>
        <r>
          <rPr>
            <b/>
            <sz val="10"/>
            <color indexed="81"/>
            <rFont val="Tahoma"/>
            <family val="2"/>
          </rPr>
          <t>rob_c:</t>
        </r>
        <r>
          <rPr>
            <sz val="10"/>
            <color indexed="81"/>
            <rFont val="Tahoma"/>
            <family val="2"/>
          </rPr>
          <t xml:space="preserve">
ACES effective July, 1 2007 (FY08)</t>
        </r>
      </text>
    </comment>
  </commentList>
</comments>
</file>

<file path=xl/sharedStrings.xml><?xml version="1.0" encoding="utf-8"?>
<sst xmlns="http://schemas.openxmlformats.org/spreadsheetml/2006/main" count="170" uniqueCount="119">
  <si>
    <t>FY</t>
  </si>
  <si>
    <t>Governor</t>
  </si>
  <si>
    <t>Population</t>
  </si>
  <si>
    <t>CPI</t>
  </si>
  <si>
    <t>CPI % Change</t>
  </si>
  <si>
    <t>CPI Deflator</t>
  </si>
  <si>
    <t>ANS Average $/bbl</t>
  </si>
  <si>
    <t>Corporation Petroleum Tax</t>
  </si>
  <si>
    <t>Production Tax</t>
  </si>
  <si>
    <t>Petroleum Property Tax</t>
  </si>
  <si>
    <t>Reserve Tax</t>
  </si>
  <si>
    <t>Royalties</t>
  </si>
  <si>
    <t>Bonuses and Rents and interest</t>
  </si>
  <si>
    <t>Petroleum Special Settlements</t>
  </si>
  <si>
    <t>Total Unrestricted Petroleum Revenue</t>
  </si>
  <si>
    <t>Cumulative TOTAL Unrestricted Petroleum Revenue</t>
  </si>
  <si>
    <t>Other UGF Revenue</t>
  </si>
  <si>
    <t>Carryforward other LFD Adjustments</t>
  </si>
  <si>
    <t>Total UGF Revenue</t>
  </si>
  <si>
    <t>% Petroleum of Total UGF Revenue</t>
  </si>
  <si>
    <t>Agency Ops</t>
  </si>
  <si>
    <t>Statewide Ops</t>
  </si>
  <si>
    <t>Total Operating</t>
  </si>
  <si>
    <t>Capital</t>
  </si>
  <si>
    <t>Total Budget</t>
  </si>
  <si>
    <t>Fund Transfers</t>
  </si>
  <si>
    <t>Budget Draws</t>
  </si>
  <si>
    <t>Net Fund Transfers</t>
  </si>
  <si>
    <t>Real Agency Ops</t>
  </si>
  <si>
    <t>Real Statewide Ops</t>
  </si>
  <si>
    <t>Real Capital</t>
  </si>
  <si>
    <t>Real UGF Revenue</t>
  </si>
  <si>
    <t>Per Capita Agency Ops</t>
  </si>
  <si>
    <t>Per Capita Statewide Ops</t>
  </si>
  <si>
    <t>Per Capita Capital</t>
  </si>
  <si>
    <t>Per Capita UGF Revenue</t>
  </si>
  <si>
    <t>Real Per Capita Agency Ops</t>
  </si>
  <si>
    <t>Real Per Capita Statewide Ops</t>
  </si>
  <si>
    <t>Real Per Capita Capital</t>
  </si>
  <si>
    <t>Real Per Capita UGF Revenue</t>
  </si>
  <si>
    <t>FY59</t>
  </si>
  <si>
    <t>Egan</t>
  </si>
  <si>
    <t>FY60</t>
  </si>
  <si>
    <t>FY61</t>
  </si>
  <si>
    <t>FY62</t>
  </si>
  <si>
    <t>FY63</t>
  </si>
  <si>
    <t>FY64</t>
  </si>
  <si>
    <t>FY65</t>
  </si>
  <si>
    <t>FY66</t>
  </si>
  <si>
    <t>FY67</t>
  </si>
  <si>
    <t>Hickel</t>
  </si>
  <si>
    <t>FY68</t>
  </si>
  <si>
    <t>FY69</t>
  </si>
  <si>
    <t>FY70</t>
  </si>
  <si>
    <t>FY71</t>
  </si>
  <si>
    <t>FY72</t>
  </si>
  <si>
    <t>FY73</t>
  </si>
  <si>
    <t>FY74</t>
  </si>
  <si>
    <t>FY75</t>
  </si>
  <si>
    <t>Hammond</t>
  </si>
  <si>
    <t>FY76</t>
  </si>
  <si>
    <t>FY77</t>
  </si>
  <si>
    <t>FY78</t>
  </si>
  <si>
    <t>FY79</t>
  </si>
  <si>
    <t>FY80</t>
  </si>
  <si>
    <t>FY81</t>
  </si>
  <si>
    <t>FY82</t>
  </si>
  <si>
    <t>FY83</t>
  </si>
  <si>
    <t>Sheffield</t>
  </si>
  <si>
    <t>FY84</t>
  </si>
  <si>
    <t>FY85</t>
  </si>
  <si>
    <t>FY86</t>
  </si>
  <si>
    <t>FY87</t>
  </si>
  <si>
    <t>Cowper</t>
  </si>
  <si>
    <t>FY88</t>
  </si>
  <si>
    <t>FY89</t>
  </si>
  <si>
    <t>FY90</t>
  </si>
  <si>
    <t>FY91</t>
  </si>
  <si>
    <t>FY92</t>
  </si>
  <si>
    <t>FY93</t>
  </si>
  <si>
    <t>FY94</t>
  </si>
  <si>
    <t>FY95</t>
  </si>
  <si>
    <t>Knowles</t>
  </si>
  <si>
    <t>FY96</t>
  </si>
  <si>
    <t>FY97</t>
  </si>
  <si>
    <t>FY98</t>
  </si>
  <si>
    <t>FY99</t>
  </si>
  <si>
    <t>FY00</t>
  </si>
  <si>
    <t>FY01</t>
  </si>
  <si>
    <t>FY02</t>
  </si>
  <si>
    <t>FY03</t>
  </si>
  <si>
    <t>Murkow</t>
  </si>
  <si>
    <t>FY04</t>
  </si>
  <si>
    <t>FY05</t>
  </si>
  <si>
    <t>FY06</t>
  </si>
  <si>
    <t>FY07</t>
  </si>
  <si>
    <t>Palin</t>
  </si>
  <si>
    <t>FY08</t>
  </si>
  <si>
    <t>FY09</t>
  </si>
  <si>
    <t>FY10</t>
  </si>
  <si>
    <t>Parnell</t>
  </si>
  <si>
    <t>FY11</t>
  </si>
  <si>
    <t>FY12</t>
  </si>
  <si>
    <t>FY13</t>
  </si>
  <si>
    <t>FY14</t>
  </si>
  <si>
    <t>FY15</t>
  </si>
  <si>
    <t>FY16</t>
  </si>
  <si>
    <t>Walker</t>
  </si>
  <si>
    <t>FY17</t>
  </si>
  <si>
    <t>FY18</t>
  </si>
  <si>
    <t>FY19</t>
  </si>
  <si>
    <t>FY20</t>
  </si>
  <si>
    <t>FY21</t>
  </si>
  <si>
    <t>FY22</t>
  </si>
  <si>
    <t>FY23</t>
  </si>
  <si>
    <t>FY24</t>
  </si>
  <si>
    <t>FY25</t>
  </si>
  <si>
    <t>DOR Spring 2016 Forecast</t>
  </si>
  <si>
    <t>As of Fiscal Summary dated 8-5-16</t>
  </si>
</sst>
</file>

<file path=xl/styles.xml><?xml version="1.0" encoding="utf-8"?>
<styleSheet xmlns="http://schemas.openxmlformats.org/spreadsheetml/2006/main">
  <numFmts count="12">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0.000"/>
    <numFmt numFmtId="170" formatCode="_(&quot;$&quot;* #,##0_);_(&quot;$&quot;* \(#,##0\);_(&quot;$&quot;* &quot;-&quot;??_);_(@_)"/>
    <numFmt numFmtId="171" formatCode="#,##0.0"/>
    <numFmt numFmtId="172" formatCode="#,##0.0_);[Red]\(#,##0.0\)"/>
  </numFmts>
  <fonts count="33">
    <font>
      <sz val="11"/>
      <color theme="1"/>
      <name val="Calibri"/>
      <family val="2"/>
      <scheme val="minor"/>
    </font>
    <font>
      <sz val="11"/>
      <color theme="1"/>
      <name val="Calibri"/>
      <family val="2"/>
      <scheme val="minor"/>
    </font>
    <font>
      <sz val="10"/>
      <name val="Arial"/>
    </font>
    <font>
      <b/>
      <sz val="10"/>
      <name val="Arial"/>
      <family val="2"/>
    </font>
    <font>
      <b/>
      <sz val="8"/>
      <name val="Arial"/>
      <family val="2"/>
    </font>
    <font>
      <sz val="10"/>
      <name val="Arial"/>
      <family val="2"/>
    </font>
    <font>
      <i/>
      <sz val="10"/>
      <name val="Arial"/>
      <family val="2"/>
    </font>
    <font>
      <sz val="12"/>
      <name val="Arial"/>
      <family val="2"/>
    </font>
    <font>
      <b/>
      <sz val="8"/>
      <color indexed="81"/>
      <name val="Tahoma"/>
      <family val="2"/>
    </font>
    <font>
      <sz val="8"/>
      <color indexed="81"/>
      <name val="Tahoma"/>
      <family val="2"/>
    </font>
    <font>
      <b/>
      <sz val="10"/>
      <color indexed="81"/>
      <name val="Tahoma"/>
      <family val="2"/>
    </font>
    <font>
      <sz val="10"/>
      <color indexed="81"/>
      <name val="Tahom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0"/>
      <name val="MS Sans Serif"/>
      <family val="2"/>
    </font>
    <font>
      <sz val="11"/>
      <color indexed="8"/>
      <name val="Calibri"/>
      <family val="2"/>
    </font>
    <font>
      <sz val="12"/>
      <name val="Arial MT"/>
    </font>
    <font>
      <i/>
      <sz val="12"/>
      <color indexed="23"/>
      <name val="Arial"/>
      <family val="2"/>
    </font>
    <font>
      <sz val="12"/>
      <color indexed="17"/>
      <name val="Arial"/>
      <family val="2"/>
    </font>
    <font>
      <sz val="10"/>
      <name val="Times New Roman"/>
      <family val="1"/>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s>
  <fills count="4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80">
    <xf numFmtId="0" fontId="0"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 borderId="0" applyNumberFormat="0" applyBorder="0" applyAlignment="0" applyProtection="0"/>
    <xf numFmtId="0" fontId="12"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2"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2" fillId="2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2"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2" fillId="2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2"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2" fillId="2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2"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2"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31"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8" borderId="0" applyNumberFormat="0" applyBorder="0" applyAlignment="0" applyProtection="0"/>
    <xf numFmtId="0" fontId="14" fillId="22" borderId="0" applyNumberFormat="0" applyBorder="0" applyAlignment="0" applyProtection="0"/>
    <xf numFmtId="0" fontId="15" fillId="39" borderId="7" applyNumberFormat="0" applyAlignment="0" applyProtection="0"/>
    <xf numFmtId="0" fontId="16" fillId="40" borderId="8" applyNumberFormat="0" applyAlignment="0" applyProtection="0"/>
    <xf numFmtId="43" fontId="5" fillId="0" borderId="0" applyFill="0" applyBorder="0" applyAlignment="0" applyProtection="0"/>
    <xf numFmtId="43" fontId="5" fillId="0" borderId="0" applyFill="0" applyBorder="0" applyAlignment="0" applyProtection="0"/>
    <xf numFmtId="40" fontId="17" fillId="0" borderId="0" applyFont="0" applyFill="0" applyBorder="0" applyAlignment="0" applyProtection="0"/>
    <xf numFmtId="43" fontId="18" fillId="0" borderId="0" applyFont="0" applyFill="0" applyBorder="0" applyAlignment="0" applyProtection="0"/>
    <xf numFmtId="40" fontId="17" fillId="0" borderId="0" applyFont="0" applyFill="0" applyBorder="0" applyAlignment="0" applyProtection="0"/>
    <xf numFmtId="43" fontId="5" fillId="0" borderId="0" applyFill="0" applyBorder="0" applyAlignment="0" applyProtection="0"/>
    <xf numFmtId="43" fontId="5" fillId="0" borderId="0" applyFont="0" applyFill="0" applyBorder="0" applyAlignment="0" applyProtection="0"/>
    <xf numFmtId="43"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4" fontId="5" fillId="0" borderId="0" applyFill="0" applyBorder="0" applyAlignment="0" applyProtection="0"/>
    <xf numFmtId="44" fontId="5" fillId="0" borderId="0" applyFill="0" applyBorder="0" applyAlignment="0" applyProtection="0"/>
    <xf numFmtId="8" fontId="17" fillId="0" borderId="0" applyFont="0" applyFill="0" applyBorder="0" applyAlignment="0" applyProtection="0"/>
    <xf numFmtId="8" fontId="17"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21" fillId="23" borderId="0" applyNumberFormat="0" applyBorder="0" applyAlignment="0" applyProtection="0"/>
    <xf numFmtId="171" fontId="22" fillId="0" borderId="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26" borderId="7" applyNumberFormat="0" applyAlignment="0" applyProtection="0"/>
    <xf numFmtId="172" fontId="7" fillId="0" borderId="0"/>
    <xf numFmtId="0" fontId="27" fillId="0" borderId="12" applyNumberFormat="0" applyFill="0" applyAlignment="0" applyProtection="0"/>
    <xf numFmtId="0" fontId="28" fillId="41" borderId="0" applyNumberFormat="0" applyBorder="0" applyAlignment="0" applyProtection="0"/>
    <xf numFmtId="0" fontId="1" fillId="0" borderId="0"/>
    <xf numFmtId="0" fontId="19" fillId="0" borderId="0"/>
    <xf numFmtId="0" fontId="5" fillId="0" borderId="0"/>
    <xf numFmtId="0" fontId="5" fillId="0" borderId="0"/>
    <xf numFmtId="0" fontId="1" fillId="0" borderId="0"/>
    <xf numFmtId="0" fontId="1" fillId="0" borderId="0"/>
    <xf numFmtId="0" fontId="1" fillId="0" borderId="0"/>
    <xf numFmtId="172" fontId="7"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2" borderId="1" applyNumberFormat="0" applyFont="0" applyAlignment="0" applyProtection="0"/>
    <xf numFmtId="0" fontId="1" fillId="2" borderId="1" applyNumberFormat="0" applyFont="0" applyAlignment="0" applyProtection="0"/>
    <xf numFmtId="0" fontId="5" fillId="42" borderId="13" applyNumberFormat="0" applyFont="0" applyAlignment="0" applyProtection="0"/>
    <xf numFmtId="0" fontId="5" fillId="42" borderId="13"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9" fillId="39" borderId="14" applyNumberFormat="0" applyAlignment="0" applyProtection="0"/>
    <xf numFmtId="9" fontId="5" fillId="0" borderId="0" applyFill="0" applyBorder="0" applyAlignment="0" applyProtection="0"/>
    <xf numFmtId="9" fontId="5"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0" applyNumberFormat="0" applyFill="0" applyBorder="0" applyAlignment="0" applyProtection="0"/>
  </cellStyleXfs>
  <cellXfs count="114">
    <xf numFmtId="0" fontId="0" fillId="0" borderId="0" xfId="0"/>
    <xf numFmtId="0" fontId="3" fillId="0" borderId="2" xfId="1" applyFont="1" applyFill="1" applyBorder="1" applyAlignment="1">
      <alignment horizontal="center"/>
    </xf>
    <xf numFmtId="0" fontId="4" fillId="0" borderId="3" xfId="1" applyFont="1" applyFill="1" applyBorder="1" applyAlignment="1">
      <alignment horizontal="center" wrapText="1"/>
    </xf>
    <xf numFmtId="10" fontId="4" fillId="0" borderId="3" xfId="2" applyNumberFormat="1" applyFont="1" applyFill="1" applyBorder="1" applyAlignment="1">
      <alignment horizontal="center" wrapText="1"/>
    </xf>
    <xf numFmtId="0" fontId="4" fillId="0" borderId="4" xfId="1" applyFont="1" applyFill="1" applyBorder="1" applyAlignment="1">
      <alignment horizontal="center" wrapText="1"/>
    </xf>
    <xf numFmtId="164" fontId="4" fillId="0" borderId="4" xfId="3" applyNumberFormat="1" applyFont="1" applyFill="1" applyBorder="1" applyAlignment="1">
      <alignment horizontal="center" wrapText="1"/>
    </xf>
    <xf numFmtId="0" fontId="4" fillId="15" borderId="4" xfId="1" applyFont="1" applyFill="1" applyBorder="1" applyAlignment="1">
      <alignment horizontal="center" wrapText="1"/>
    </xf>
    <xf numFmtId="0" fontId="2" fillId="0" borderId="4" xfId="1" applyFill="1" applyBorder="1"/>
    <xf numFmtId="0" fontId="4" fillId="0" borderId="5" xfId="1" applyFont="1" applyFill="1" applyBorder="1" applyAlignment="1">
      <alignment horizontal="center" wrapText="1"/>
    </xf>
    <xf numFmtId="0" fontId="2" fillId="0" borderId="5" xfId="1" applyFill="1" applyBorder="1"/>
    <xf numFmtId="0" fontId="3" fillId="0" borderId="0" xfId="1" applyFont="1" applyBorder="1" applyAlignment="1">
      <alignment horizontal="center"/>
    </xf>
    <xf numFmtId="0" fontId="2" fillId="0" borderId="0" xfId="1" applyBorder="1"/>
    <xf numFmtId="165" fontId="1" fillId="0" borderId="0" xfId="3" applyNumberFormat="1" applyFont="1" applyFill="1" applyBorder="1" applyAlignment="1">
      <alignment vertical="top" wrapText="1"/>
    </xf>
    <xf numFmtId="0" fontId="2" fillId="0" borderId="0" xfId="1" applyBorder="1" applyAlignment="1">
      <alignment horizontal="center"/>
    </xf>
    <xf numFmtId="10" fontId="0" fillId="0" borderId="0" xfId="2" applyNumberFormat="1" applyFont="1" applyBorder="1"/>
    <xf numFmtId="43" fontId="0" fillId="0" borderId="0" xfId="3" applyNumberFormat="1" applyFont="1" applyBorder="1"/>
    <xf numFmtId="166" fontId="2" fillId="0" borderId="0" xfId="1" applyNumberFormat="1" applyBorder="1"/>
    <xf numFmtId="164" fontId="0" fillId="0" borderId="0" xfId="3" applyNumberFormat="1" applyFont="1" applyBorder="1"/>
    <xf numFmtId="164" fontId="3" fillId="0" borderId="0" xfId="3" applyNumberFormat="1" applyFont="1" applyBorder="1"/>
    <xf numFmtId="43" fontId="0" fillId="0" borderId="0" xfId="3" applyFont="1" applyBorder="1"/>
    <xf numFmtId="164" fontId="3" fillId="0" borderId="0" xfId="3" applyNumberFormat="1" applyFont="1" applyFill="1" applyBorder="1"/>
    <xf numFmtId="9" fontId="0" fillId="0" borderId="0" xfId="2" applyFont="1" applyBorder="1"/>
    <xf numFmtId="0" fontId="2" fillId="15" borderId="0" xfId="1" applyFill="1" applyBorder="1"/>
    <xf numFmtId="164" fontId="5" fillId="16" borderId="0" xfId="1" applyNumberFormat="1" applyFont="1" applyFill="1" applyBorder="1"/>
    <xf numFmtId="164" fontId="5" fillId="0" borderId="0" xfId="3" applyNumberFormat="1" applyFont="1" applyFill="1" applyBorder="1"/>
    <xf numFmtId="164" fontId="3" fillId="16" borderId="0" xfId="3" applyNumberFormat="1" applyFont="1" applyFill="1" applyBorder="1"/>
    <xf numFmtId="164" fontId="5" fillId="16" borderId="0" xfId="3" applyNumberFormat="1" applyFont="1" applyFill="1" applyBorder="1"/>
    <xf numFmtId="164" fontId="1" fillId="0" borderId="0" xfId="4" applyNumberFormat="1" applyFont="1" applyFill="1" applyBorder="1" applyAlignment="1">
      <alignment horizontal="center" vertical="top" wrapText="1"/>
    </xf>
    <xf numFmtId="2" fontId="2" fillId="0" borderId="0" xfId="1" applyNumberFormat="1" applyFill="1"/>
    <xf numFmtId="0" fontId="2" fillId="0" borderId="0" xfId="1" applyFill="1" applyBorder="1"/>
    <xf numFmtId="10" fontId="0" fillId="0" borderId="0" xfId="2" applyNumberFormat="1" applyFont="1" applyFill="1" applyBorder="1"/>
    <xf numFmtId="165" fontId="2" fillId="0" borderId="0" xfId="1" applyNumberFormat="1" applyBorder="1"/>
    <xf numFmtId="43" fontId="0" fillId="0" borderId="0" xfId="3" applyNumberFormat="1" applyFont="1" applyFill="1" applyBorder="1"/>
    <xf numFmtId="164" fontId="0" fillId="16" borderId="0" xfId="3" applyNumberFormat="1" applyFont="1" applyFill="1" applyBorder="1"/>
    <xf numFmtId="49" fontId="3" fillId="0" borderId="0" xfId="1" applyNumberFormat="1" applyFont="1" applyBorder="1" applyAlignment="1">
      <alignment horizontal="center"/>
    </xf>
    <xf numFmtId="164" fontId="2" fillId="0" borderId="0" xfId="1" applyNumberFormat="1" applyBorder="1"/>
    <xf numFmtId="164" fontId="2" fillId="15" borderId="0" xfId="1" applyNumberFormat="1" applyFill="1" applyBorder="1"/>
    <xf numFmtId="16" fontId="2" fillId="0" borderId="0" xfId="1" applyNumberFormat="1" applyBorder="1"/>
    <xf numFmtId="0" fontId="2" fillId="0" borderId="0" xfId="1" applyFill="1"/>
    <xf numFmtId="164" fontId="0" fillId="0" borderId="0" xfId="3" applyNumberFormat="1" applyFont="1" applyFill="1" applyBorder="1"/>
    <xf numFmtId="164" fontId="0" fillId="0" borderId="0" xfId="3" applyNumberFormat="1" applyFont="1" applyFill="1"/>
    <xf numFmtId="9" fontId="0" fillId="0" borderId="0" xfId="2" applyFont="1" applyFill="1"/>
    <xf numFmtId="0" fontId="2" fillId="15" borderId="0" xfId="1" applyFill="1"/>
    <xf numFmtId="9" fontId="0" fillId="0" borderId="0" xfId="2" applyFont="1" applyFill="1" applyBorder="1"/>
    <xf numFmtId="167" fontId="5" fillId="0" borderId="0" xfId="2" applyNumberFormat="1" applyFont="1" applyFill="1" applyBorder="1"/>
    <xf numFmtId="49" fontId="3" fillId="0" borderId="6" xfId="1" applyNumberFormat="1" applyFont="1" applyBorder="1" applyAlignment="1">
      <alignment horizontal="center"/>
    </xf>
    <xf numFmtId="0" fontId="2" fillId="0" borderId="6" xfId="1" applyFill="1" applyBorder="1"/>
    <xf numFmtId="165" fontId="1" fillId="0" borderId="6" xfId="3" applyNumberFormat="1" applyFont="1" applyFill="1" applyBorder="1" applyAlignment="1">
      <alignment vertical="top" wrapText="1"/>
    </xf>
    <xf numFmtId="164" fontId="1" fillId="0" borderId="6" xfId="4" applyNumberFormat="1" applyFont="1" applyFill="1" applyBorder="1" applyAlignment="1">
      <alignment horizontal="center" vertical="top" wrapText="1"/>
    </xf>
    <xf numFmtId="10" fontId="0" fillId="0" borderId="6" xfId="2" applyNumberFormat="1" applyFont="1" applyFill="1" applyBorder="1"/>
    <xf numFmtId="2" fontId="2" fillId="0" borderId="6" xfId="1" applyNumberFormat="1" applyFill="1" applyBorder="1"/>
    <xf numFmtId="43" fontId="0" fillId="0" borderId="6" xfId="3" applyNumberFormat="1" applyFont="1" applyFill="1" applyBorder="1"/>
    <xf numFmtId="164" fontId="0" fillId="0" borderId="6" xfId="3" applyNumberFormat="1" applyFont="1" applyFill="1" applyBorder="1"/>
    <xf numFmtId="164" fontId="3" fillId="0" borderId="6" xfId="3" applyNumberFormat="1" applyFont="1" applyFill="1" applyBorder="1"/>
    <xf numFmtId="166" fontId="2" fillId="0" borderId="6" xfId="1" applyNumberFormat="1" applyFill="1" applyBorder="1"/>
    <xf numFmtId="9" fontId="0" fillId="0" borderId="6" xfId="2" applyFont="1" applyFill="1" applyBorder="1"/>
    <xf numFmtId="0" fontId="2" fillId="15" borderId="6" xfId="1" applyFill="1" applyBorder="1"/>
    <xf numFmtId="168" fontId="5" fillId="17" borderId="6" xfId="1" applyNumberFormat="1" applyFont="1" applyFill="1" applyBorder="1"/>
    <xf numFmtId="164" fontId="5" fillId="17" borderId="6" xfId="3" applyNumberFormat="1" applyFont="1" applyFill="1" applyBorder="1"/>
    <xf numFmtId="164" fontId="3" fillId="17" borderId="6" xfId="3" applyNumberFormat="1" applyFont="1" applyFill="1" applyBorder="1"/>
    <xf numFmtId="164" fontId="0" fillId="17" borderId="6" xfId="3" applyNumberFormat="1" applyFont="1" applyFill="1" applyBorder="1"/>
    <xf numFmtId="0" fontId="5" fillId="0" borderId="6" xfId="1" applyFont="1" applyFill="1" applyBorder="1"/>
    <xf numFmtId="164" fontId="0" fillId="0" borderId="6" xfId="3" applyNumberFormat="1" applyFont="1" applyBorder="1"/>
    <xf numFmtId="0" fontId="2" fillId="0" borderId="6" xfId="1" applyBorder="1"/>
    <xf numFmtId="165" fontId="2" fillId="0" borderId="6" xfId="1" applyNumberFormat="1" applyBorder="1"/>
    <xf numFmtId="164" fontId="1" fillId="18" borderId="0" xfId="4" applyNumberFormat="1" applyFont="1" applyFill="1" applyBorder="1" applyAlignment="1">
      <alignment horizontal="center" vertical="top" wrapText="1"/>
    </xf>
    <xf numFmtId="10" fontId="0" fillId="18" borderId="0" xfId="2" applyNumberFormat="1" applyFont="1" applyFill="1" applyBorder="1"/>
    <xf numFmtId="2" fontId="2" fillId="18" borderId="0" xfId="1" applyNumberFormat="1" applyFill="1"/>
    <xf numFmtId="164" fontId="0" fillId="19" borderId="0" xfId="3" applyNumberFormat="1" applyFont="1" applyFill="1"/>
    <xf numFmtId="164" fontId="3" fillId="19" borderId="0" xfId="3" applyNumberFormat="1" applyFont="1" applyFill="1" applyBorder="1"/>
    <xf numFmtId="166" fontId="2" fillId="19" borderId="0" xfId="1" applyNumberFormat="1" applyFill="1"/>
    <xf numFmtId="0" fontId="2" fillId="19" borderId="0" xfId="1" applyFill="1"/>
    <xf numFmtId="164" fontId="3" fillId="19" borderId="0" xfId="3" applyNumberFormat="1" applyFont="1" applyFill="1"/>
    <xf numFmtId="168" fontId="5" fillId="20" borderId="0" xfId="1" applyNumberFormat="1" applyFont="1" applyFill="1"/>
    <xf numFmtId="164" fontId="5" fillId="20" borderId="0" xfId="3" applyNumberFormat="1" applyFont="1" applyFill="1" applyBorder="1"/>
    <xf numFmtId="164" fontId="3" fillId="20" borderId="0" xfId="3" applyNumberFormat="1" applyFont="1" applyFill="1" applyBorder="1"/>
    <xf numFmtId="164" fontId="0" fillId="20" borderId="0" xfId="3" applyNumberFormat="1" applyFont="1" applyFill="1"/>
    <xf numFmtId="0" fontId="5" fillId="0" borderId="0" xfId="1" applyFont="1" applyFill="1"/>
    <xf numFmtId="0" fontId="2" fillId="0" borderId="0" xfId="1"/>
    <xf numFmtId="167" fontId="5" fillId="0" borderId="0" xfId="2" applyNumberFormat="1" applyFont="1" applyFill="1"/>
    <xf numFmtId="0" fontId="2" fillId="0" borderId="0" xfId="1" applyAlignment="1">
      <alignment horizontal="center"/>
    </xf>
    <xf numFmtId="10" fontId="0" fillId="0" borderId="0" xfId="2" applyNumberFormat="1" applyFont="1"/>
    <xf numFmtId="164" fontId="0" fillId="0" borderId="0" xfId="3" applyNumberFormat="1" applyFont="1"/>
    <xf numFmtId="168" fontId="5" fillId="0" borderId="0" xfId="1" applyNumberFormat="1" applyFont="1" applyFill="1"/>
    <xf numFmtId="164" fontId="2" fillId="0" borderId="0" xfId="1" applyNumberFormat="1"/>
    <xf numFmtId="165" fontId="0" fillId="0" borderId="0" xfId="3" applyNumberFormat="1" applyFont="1" applyFill="1" applyBorder="1"/>
    <xf numFmtId="0" fontId="3" fillId="0" borderId="0" xfId="1" applyFont="1" applyAlignment="1">
      <alignment horizontal="center"/>
    </xf>
    <xf numFmtId="0" fontId="3" fillId="0" borderId="0" xfId="1" applyFont="1"/>
    <xf numFmtId="164" fontId="3" fillId="0" borderId="0" xfId="3" applyNumberFormat="1" applyFont="1" applyFill="1"/>
    <xf numFmtId="0" fontId="5" fillId="0" borderId="0" xfId="1" applyFont="1"/>
    <xf numFmtId="166" fontId="3" fillId="0" borderId="0" xfId="1" applyNumberFormat="1" applyFont="1"/>
    <xf numFmtId="43" fontId="5" fillId="0" borderId="0" xfId="1" applyNumberFormat="1" applyFont="1"/>
    <xf numFmtId="164" fontId="3" fillId="0" borderId="0" xfId="1" applyNumberFormat="1" applyFont="1"/>
    <xf numFmtId="169" fontId="5" fillId="0" borderId="0" xfId="1" applyNumberFormat="1" applyFont="1"/>
    <xf numFmtId="0" fontId="3" fillId="19" borderId="0" xfId="1" applyFont="1" applyFill="1"/>
    <xf numFmtId="167" fontId="5" fillId="0" borderId="0" xfId="2" applyNumberFormat="1" applyFont="1"/>
    <xf numFmtId="43" fontId="0" fillId="0" borderId="0" xfId="3" applyFont="1"/>
    <xf numFmtId="164" fontId="5" fillId="0" borderId="0" xfId="1" applyNumberFormat="1" applyFont="1"/>
    <xf numFmtId="0" fontId="6" fillId="0" borderId="0" xfId="1" applyFont="1"/>
    <xf numFmtId="0" fontId="2" fillId="20" borderId="0" xfId="1" applyFill="1"/>
    <xf numFmtId="0" fontId="3" fillId="20" borderId="0" xfId="1" applyFont="1" applyFill="1"/>
    <xf numFmtId="0" fontId="2" fillId="0" borderId="0" xfId="1" applyAlignment="1">
      <alignment horizontal="right"/>
    </xf>
    <xf numFmtId="168" fontId="5" fillId="0" borderId="0" xfId="1" applyNumberFormat="1" applyFont="1"/>
    <xf numFmtId="0" fontId="3" fillId="0" borderId="0" xfId="1" applyFont="1" applyFill="1" applyBorder="1" applyAlignment="1">
      <alignment horizontal="center"/>
    </xf>
    <xf numFmtId="10" fontId="1" fillId="0" borderId="0" xfId="2" applyNumberFormat="1" applyFont="1" applyFill="1" applyBorder="1" applyAlignment="1">
      <alignment vertical="top" wrapText="1"/>
    </xf>
    <xf numFmtId="164" fontId="1" fillId="0" borderId="0" xfId="4" applyNumberFormat="1" applyFont="1" applyFill="1" applyBorder="1" applyAlignment="1">
      <alignment vertical="top" wrapText="1"/>
    </xf>
    <xf numFmtId="164" fontId="1" fillId="0" borderId="0" xfId="5" applyNumberFormat="1" applyFont="1" applyFill="1" applyBorder="1" applyAlignment="1">
      <alignment vertical="top" wrapText="1"/>
    </xf>
    <xf numFmtId="164" fontId="1" fillId="0" borderId="0" xfId="5" applyNumberFormat="1" applyFont="1" applyFill="1" applyBorder="1" applyAlignment="1">
      <alignment horizontal="center" vertical="top" wrapText="1"/>
    </xf>
    <xf numFmtId="0" fontId="2" fillId="0" borderId="0" xfId="1" applyFill="1" applyBorder="1" applyAlignment="1">
      <alignment horizontal="center"/>
    </xf>
    <xf numFmtId="0" fontId="3" fillId="0" borderId="0" xfId="1" applyFont="1" applyFill="1" applyBorder="1"/>
    <xf numFmtId="0" fontId="5" fillId="0" borderId="0" xfId="1" applyFont="1" applyFill="1" applyBorder="1"/>
    <xf numFmtId="170" fontId="7" fillId="0" borderId="0" xfId="1" applyNumberFormat="1" applyFont="1" applyFill="1" applyBorder="1" applyProtection="1">
      <protection locked="0"/>
    </xf>
    <xf numFmtId="44" fontId="7" fillId="0" borderId="0" xfId="1" applyNumberFormat="1" applyFont="1" applyFill="1" applyBorder="1" applyProtection="1">
      <protection locked="0"/>
    </xf>
    <xf numFmtId="0" fontId="2" fillId="16" borderId="0" xfId="1" applyFill="1"/>
  </cellXfs>
  <cellStyles count="180">
    <cellStyle name="20% - Accent1 2" xfId="6"/>
    <cellStyle name="20% - Accent1 2 2" xfId="7"/>
    <cellStyle name="20% - Accent1 3" xfId="8"/>
    <cellStyle name="20% - Accent1 4" xfId="9"/>
    <cellStyle name="20% - Accent1 5" xfId="10"/>
    <cellStyle name="20% - Accent2 2" xfId="11"/>
    <cellStyle name="20% - Accent2 2 2" xfId="12"/>
    <cellStyle name="20% - Accent2 3" xfId="13"/>
    <cellStyle name="20% - Accent2 4" xfId="14"/>
    <cellStyle name="20% - Accent2 5" xfId="15"/>
    <cellStyle name="20% - Accent3 2" xfId="16"/>
    <cellStyle name="20% - Accent3 2 2" xfId="17"/>
    <cellStyle name="20% - Accent3 3" xfId="18"/>
    <cellStyle name="20% - Accent3 4" xfId="19"/>
    <cellStyle name="20% - Accent3 5" xfId="20"/>
    <cellStyle name="20% - Accent4 2" xfId="21"/>
    <cellStyle name="20% - Accent4 2 2" xfId="22"/>
    <cellStyle name="20% - Accent4 3" xfId="23"/>
    <cellStyle name="20% - Accent4 4" xfId="24"/>
    <cellStyle name="20% - Accent4 5" xfId="25"/>
    <cellStyle name="20% - Accent5 2" xfId="26"/>
    <cellStyle name="20% - Accent5 2 2" xfId="27"/>
    <cellStyle name="20% - Accent5 3" xfId="28"/>
    <cellStyle name="20% - Accent5 4" xfId="29"/>
    <cellStyle name="20% - Accent5 5" xfId="30"/>
    <cellStyle name="20% - Accent6 2" xfId="31"/>
    <cellStyle name="20% - Accent6 2 2" xfId="32"/>
    <cellStyle name="20% - Accent6 3" xfId="33"/>
    <cellStyle name="20% - Accent6 4" xfId="34"/>
    <cellStyle name="20% - Accent6 5" xfId="35"/>
    <cellStyle name="40% - Accent1 2" xfId="36"/>
    <cellStyle name="40% - Accent1 2 2" xfId="37"/>
    <cellStyle name="40% - Accent1 3" xfId="38"/>
    <cellStyle name="40% - Accent1 4" xfId="39"/>
    <cellStyle name="40% - Accent1 5" xfId="40"/>
    <cellStyle name="40% - Accent2 2" xfId="41"/>
    <cellStyle name="40% - Accent2 2 2" xfId="42"/>
    <cellStyle name="40% - Accent2 3" xfId="43"/>
    <cellStyle name="40% - Accent2 4" xfId="44"/>
    <cellStyle name="40% - Accent2 5" xfId="45"/>
    <cellStyle name="40% - Accent3 2" xfId="46"/>
    <cellStyle name="40% - Accent3 2 2" xfId="47"/>
    <cellStyle name="40% - Accent3 3" xfId="48"/>
    <cellStyle name="40% - Accent3 4" xfId="49"/>
    <cellStyle name="40% - Accent3 5" xfId="50"/>
    <cellStyle name="40% - Accent4 2" xfId="51"/>
    <cellStyle name="40% - Accent4 2 2" xfId="52"/>
    <cellStyle name="40% - Accent4 3" xfId="53"/>
    <cellStyle name="40% - Accent4 4" xfId="54"/>
    <cellStyle name="40% - Accent4 5" xfId="55"/>
    <cellStyle name="40% - Accent5 2" xfId="56"/>
    <cellStyle name="40% - Accent5 2 2" xfId="57"/>
    <cellStyle name="40% - Accent5 3" xfId="58"/>
    <cellStyle name="40% - Accent5 4" xfId="59"/>
    <cellStyle name="40% - Accent5 5" xfId="60"/>
    <cellStyle name="40% - Accent6 2" xfId="61"/>
    <cellStyle name="40% - Accent6 2 2" xfId="62"/>
    <cellStyle name="40% - Accent6 3" xfId="63"/>
    <cellStyle name="40% - Accent6 4" xfId="64"/>
    <cellStyle name="40% - Accent6 5" xfId="65"/>
    <cellStyle name="60% - Accent1 2" xfId="66"/>
    <cellStyle name="60% - Accent2 2" xfId="67"/>
    <cellStyle name="60% - Accent3 2" xfId="68"/>
    <cellStyle name="60% - Accent4 2" xfId="69"/>
    <cellStyle name="60% - Accent5 2" xfId="70"/>
    <cellStyle name="60% - Accent6 2" xfId="71"/>
    <cellStyle name="Accent1 2" xfId="72"/>
    <cellStyle name="Accent2 2" xfId="73"/>
    <cellStyle name="Accent3 2" xfId="74"/>
    <cellStyle name="Accent4 2" xfId="75"/>
    <cellStyle name="Accent5 2" xfId="76"/>
    <cellStyle name="Accent6 2" xfId="77"/>
    <cellStyle name="Bad 2" xfId="78"/>
    <cellStyle name="Calculation 2" xfId="79"/>
    <cellStyle name="Check Cell 2" xfId="80"/>
    <cellStyle name="Comma 2" xfId="3"/>
    <cellStyle name="Comma 2 2" xfId="81"/>
    <cellStyle name="Comma 2 2 2" xfId="82"/>
    <cellStyle name="Comma 2 3" xfId="83"/>
    <cellStyle name="Comma 2 4" xfId="84"/>
    <cellStyle name="Comma 2 5" xfId="4"/>
    <cellStyle name="Comma 2 6" xfId="85"/>
    <cellStyle name="Comma 3" xfId="86"/>
    <cellStyle name="Comma 3 2" xfId="87"/>
    <cellStyle name="Comma 3 3" xfId="88"/>
    <cellStyle name="Comma 4" xfId="89"/>
    <cellStyle name="Comma 4 2" xfId="90"/>
    <cellStyle name="Comma 4 3" xfId="91"/>
    <cellStyle name="Comma 5" xfId="92"/>
    <cellStyle name="Comma 5 2" xfId="93"/>
    <cellStyle name="Comma 5 3" xfId="94"/>
    <cellStyle name="Comma 6" xfId="95"/>
    <cellStyle name="Comma 7" xfId="96"/>
    <cellStyle name="Comma 8" xfId="5"/>
    <cellStyle name="Currency 2" xfId="97"/>
    <cellStyle name="Currency 2 2" xfId="98"/>
    <cellStyle name="Currency 2 2 2" xfId="99"/>
    <cellStyle name="Currency 2 3" xfId="100"/>
    <cellStyle name="Currency 2 4" xfId="101"/>
    <cellStyle name="Currency 3" xfId="102"/>
    <cellStyle name="Currency 4" xfId="103"/>
    <cellStyle name="Currency 5" xfId="104"/>
    <cellStyle name="Explanatory Text 2" xfId="105"/>
    <cellStyle name="Good 2" xfId="106"/>
    <cellStyle name="greany" xfId="107"/>
    <cellStyle name="Heading 1 2" xfId="108"/>
    <cellStyle name="Heading 2 2" xfId="109"/>
    <cellStyle name="Heading 3 2" xfId="110"/>
    <cellStyle name="Heading 4 2" xfId="111"/>
    <cellStyle name="Input 2" xfId="112"/>
    <cellStyle name="LegFin" xfId="113"/>
    <cellStyle name="Linked Cell 2" xfId="114"/>
    <cellStyle name="Neutral 2" xfId="115"/>
    <cellStyle name="Normal" xfId="0" builtinId="0"/>
    <cellStyle name="Normal 10" xfId="116"/>
    <cellStyle name="Normal 2" xfId="1"/>
    <cellStyle name="Normal 2 2" xfId="117"/>
    <cellStyle name="Normal 2 3" xfId="118"/>
    <cellStyle name="Normal 2 3 2" xfId="119"/>
    <cellStyle name="Normal 2 4" xfId="120"/>
    <cellStyle name="Normal 2 4 2" xfId="121"/>
    <cellStyle name="Normal 2 5" xfId="122"/>
    <cellStyle name="Normal 2 5 2" xfId="123"/>
    <cellStyle name="Normal 2 6" xfId="124"/>
    <cellStyle name="Normal 3" xfId="125"/>
    <cellStyle name="Normal 3 2" xfId="126"/>
    <cellStyle name="Normal 3 2 2" xfId="127"/>
    <cellStyle name="Normal 3 2 2 2" xfId="128"/>
    <cellStyle name="Normal 3 2 3" xfId="129"/>
    <cellStyle name="Normal 3 2 4" xfId="130"/>
    <cellStyle name="Normal 3 3" xfId="131"/>
    <cellStyle name="Normal 3 3 2" xfId="132"/>
    <cellStyle name="Normal 3 3 3" xfId="133"/>
    <cellStyle name="Normal 3 4" xfId="134"/>
    <cellStyle name="Normal 3 4 2" xfId="135"/>
    <cellStyle name="Normal 3 5" xfId="136"/>
    <cellStyle name="Normal 3 5 2" xfId="137"/>
    <cellStyle name="Normal 3 6" xfId="138"/>
    <cellStyle name="Normal 4" xfId="139"/>
    <cellStyle name="Normal 4 2" xfId="140"/>
    <cellStyle name="Normal 4 2 2" xfId="141"/>
    <cellStyle name="Normal 4 3" xfId="142"/>
    <cellStyle name="Normal 4 4" xfId="143"/>
    <cellStyle name="Normal 5" xfId="144"/>
    <cellStyle name="Normal 5 2" xfId="145"/>
    <cellStyle name="Normal 5 2 2" xfId="146"/>
    <cellStyle name="Normal 5 3" xfId="147"/>
    <cellStyle name="Normal 5 4" xfId="148"/>
    <cellStyle name="Normal 6" xfId="149"/>
    <cellStyle name="Normal 6 2" xfId="150"/>
    <cellStyle name="Normal 6 3" xfId="151"/>
    <cellStyle name="Normal 7" xfId="152"/>
    <cellStyle name="Normal 7 2" xfId="153"/>
    <cellStyle name="Normal 7 3" xfId="154"/>
    <cellStyle name="Normal 8" xfId="155"/>
    <cellStyle name="Normal 8 2" xfId="156"/>
    <cellStyle name="Normal 9" xfId="157"/>
    <cellStyle name="Normal 9 2" xfId="158"/>
    <cellStyle name="Note 2" xfId="159"/>
    <cellStyle name="Note 2 2" xfId="160"/>
    <cellStyle name="Note 2 2 2" xfId="161"/>
    <cellStyle name="Note 2 3" xfId="162"/>
    <cellStyle name="Note 3" xfId="163"/>
    <cellStyle name="Note 4" xfId="164"/>
    <cellStyle name="Note 5" xfId="165"/>
    <cellStyle name="Output 2" xfId="166"/>
    <cellStyle name="Percent 2" xfId="2"/>
    <cellStyle name="Percent 2 2" xfId="167"/>
    <cellStyle name="Percent 2 2 2" xfId="168"/>
    <cellStyle name="Percent 2 3" xfId="169"/>
    <cellStyle name="Percent 2 4" xfId="170"/>
    <cellStyle name="Percent 3" xfId="171"/>
    <cellStyle name="Percent 4" xfId="172"/>
    <cellStyle name="Percent 4 2" xfId="173"/>
    <cellStyle name="Percent 4 3" xfId="174"/>
    <cellStyle name="Percent 4 4" xfId="175"/>
    <cellStyle name="Percent 5" xfId="176"/>
    <cellStyle name="Title 2" xfId="177"/>
    <cellStyle name="Total 2" xfId="178"/>
    <cellStyle name="Warning Text 2" xfId="17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Budget%20History_FY75-Present_8-1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Budget%20History,%20Approp%20Limit\Historical%20Funding\Budget%20History%2075-present\Current\Capital_Operating_Positions_Revenue_FY75-Pres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 UGF Revenue"/>
      <sheetName val="C- UGF Rev+Ops"/>
      <sheetName val="C- UGF Rev+Ops+Stwd Ops"/>
      <sheetName val="C- UGF Rev+Ops+StwdOps+Cap"/>
      <sheetName val="C- UGF Rev+Ops+StwdOps+Cap+Xfer"/>
      <sheetName val="C- UGF Rev+Ops+StwdOps+Cap+ (2)"/>
      <sheetName val="C-Population"/>
      <sheetName val="C-Inflation"/>
      <sheetName val="C- UGF Rev &amp; Budget Nominal"/>
      <sheetName val="C- Real UGF Rev &amp; Budget"/>
      <sheetName val="C- Real UGF Rev &amp; Budget (2)"/>
      <sheetName val="C- PerCap UGF Rev &amp; Budget"/>
      <sheetName val="C- Real PerCap UGF Rev&amp;Budget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_Events"/>
      <sheetName val="Analysis"/>
      <sheetName val="SUMMARY"/>
      <sheetName val="Op. Lang. Approp."/>
      <sheetName val="Unrestrict_Gen_ Purp_ Revenue"/>
      <sheetName val="Permanant Fund"/>
      <sheetName val="Capital_Num Detail"/>
      <sheetName val="Operating_Num Detail"/>
      <sheetName val="Debt Service"/>
      <sheetName val="Oil Projection Chart"/>
      <sheetName val="Oil Projections updated 7 25 00"/>
      <sheetName val="$10 Oil"/>
      <sheetName val="Rev_vs_ Exp_adj 4 INFL"/>
      <sheetName val="AVG per resident"/>
      <sheetName val="AVG per resident no IA"/>
      <sheetName val="Population"/>
      <sheetName val="Positions"/>
      <sheetName val="Chart's etc."/>
    </sheetNames>
    <sheetDataSet>
      <sheetData sheetId="0" refreshError="1"/>
      <sheetData sheetId="1" refreshError="1"/>
      <sheetData sheetId="2" refreshError="1"/>
      <sheetData sheetId="3" refreshError="1"/>
      <sheetData sheetId="4" refreshError="1"/>
      <sheetData sheetId="5" refreshError="1"/>
      <sheetData sheetId="6">
        <row r="167">
          <cell r="B167" t="str">
            <v>Total All Funds</v>
          </cell>
          <cell r="C167">
            <v>0</v>
          </cell>
          <cell r="D167">
            <v>0</v>
          </cell>
          <cell r="E167">
            <v>0</v>
          </cell>
          <cell r="F167">
            <v>0</v>
          </cell>
          <cell r="G167">
            <v>0</v>
          </cell>
          <cell r="H167">
            <v>0</v>
          </cell>
          <cell r="I167">
            <v>0</v>
          </cell>
          <cell r="J167">
            <v>0</v>
          </cell>
          <cell r="K167">
            <v>188967.80000000002</v>
          </cell>
          <cell r="L167">
            <v>29106.400000000001</v>
          </cell>
          <cell r="M167">
            <v>463824.3</v>
          </cell>
          <cell r="N167">
            <v>57516.800000000003</v>
          </cell>
          <cell r="O167">
            <v>353014.39999999997</v>
          </cell>
          <cell r="P167">
            <v>192113.1</v>
          </cell>
          <cell r="Q167">
            <v>779655.10000000009</v>
          </cell>
          <cell r="R167">
            <v>837746.69999999984</v>
          </cell>
          <cell r="S167">
            <v>587669.5</v>
          </cell>
          <cell r="T167">
            <v>900201.8</v>
          </cell>
          <cell r="U167">
            <v>1239392.2000000002</v>
          </cell>
          <cell r="V167">
            <v>863803.4</v>
          </cell>
          <cell r="W167">
            <v>620638.9</v>
          </cell>
          <cell r="X167">
            <v>343315.1</v>
          </cell>
          <cell r="Y167">
            <v>377455</v>
          </cell>
          <cell r="Z167">
            <v>343507.50000000006</v>
          </cell>
          <cell r="AA167">
            <v>416283.8</v>
          </cell>
          <cell r="AB167">
            <v>686147.2</v>
          </cell>
          <cell r="AC167">
            <v>704179.64199999999</v>
          </cell>
          <cell r="AD167">
            <v>951739.8</v>
          </cell>
          <cell r="AE167">
            <v>663936.9</v>
          </cell>
          <cell r="AF167">
            <v>579598.94900000002</v>
          </cell>
          <cell r="AG167">
            <v>640738.58700000017</v>
          </cell>
          <cell r="AH167">
            <v>615717.47499999998</v>
          </cell>
          <cell r="AI167">
            <v>1207692.5970000003</v>
          </cell>
          <cell r="AJ167">
            <v>1136364.8469999998</v>
          </cell>
          <cell r="AK167">
            <v>1251769.6809999999</v>
          </cell>
          <cell r="AL167">
            <v>1219755.0659999999</v>
          </cell>
        </row>
      </sheetData>
      <sheetData sheetId="7">
        <row r="168">
          <cell r="B168" t="str">
            <v>TOTAL</v>
          </cell>
          <cell r="C168">
            <v>629317.1</v>
          </cell>
          <cell r="D168">
            <v>49090.978999999992</v>
          </cell>
          <cell r="E168">
            <v>37535.1</v>
          </cell>
          <cell r="F168">
            <v>715943.179</v>
          </cell>
          <cell r="G168">
            <v>719870.4</v>
          </cell>
          <cell r="H168">
            <v>91288.458999999988</v>
          </cell>
          <cell r="I168">
            <v>58996.2</v>
          </cell>
          <cell r="J168">
            <v>870155.05899999989</v>
          </cell>
          <cell r="K168">
            <v>884436.09999999986</v>
          </cell>
          <cell r="L168">
            <v>29636.268</v>
          </cell>
          <cell r="M168">
            <v>87456.4</v>
          </cell>
          <cell r="N168">
            <v>1001528.7679999998</v>
          </cell>
          <cell r="O168">
            <v>1026989.2000000001</v>
          </cell>
          <cell r="P168">
            <v>52919.22</v>
          </cell>
          <cell r="Q168">
            <v>40012.6</v>
          </cell>
          <cell r="R168">
            <v>1119921.0199999998</v>
          </cell>
          <cell r="S168">
            <v>1192271.2999999993</v>
          </cell>
          <cell r="T168">
            <v>15118.1</v>
          </cell>
          <cell r="U168">
            <v>19890.2</v>
          </cell>
          <cell r="V168">
            <v>1227279.5999999996</v>
          </cell>
          <cell r="W168">
            <v>1293560.9999999993</v>
          </cell>
          <cell r="X168">
            <v>99382.800000000017</v>
          </cell>
          <cell r="Y168">
            <v>62688.458999999995</v>
          </cell>
          <cell r="Z168">
            <v>1455632.2589999996</v>
          </cell>
          <cell r="AA168">
            <v>1822305.1999999995</v>
          </cell>
          <cell r="AB168">
            <v>88944.3</v>
          </cell>
          <cell r="AC168">
            <v>49135.123</v>
          </cell>
          <cell r="AD168">
            <v>1960384.6229999994</v>
          </cell>
          <cell r="AE168">
            <v>2363791.7999999998</v>
          </cell>
          <cell r="AF168">
            <v>11990.9</v>
          </cell>
          <cell r="AG168">
            <v>10047.400000000001</v>
          </cell>
          <cell r="AH168">
            <v>2385830.0999999996</v>
          </cell>
          <cell r="AI168">
            <v>2458382.9000000008</v>
          </cell>
          <cell r="AJ168">
            <v>80083.600000000006</v>
          </cell>
          <cell r="AK168">
            <v>14953.699999999999</v>
          </cell>
          <cell r="AL168">
            <v>2553420.2000000007</v>
          </cell>
          <cell r="AM168">
            <v>2449706.1000000006</v>
          </cell>
          <cell r="AN168">
            <v>18156</v>
          </cell>
          <cell r="AO168">
            <v>17615.599999999999</v>
          </cell>
          <cell r="AP168">
            <v>2485477.6999999997</v>
          </cell>
          <cell r="AQ168">
            <v>2993769.2000000007</v>
          </cell>
          <cell r="AR168">
            <v>15762.999999999998</v>
          </cell>
          <cell r="AS168">
            <v>13735.900000000001</v>
          </cell>
          <cell r="AT168">
            <v>3023268.1</v>
          </cell>
          <cell r="AU168">
            <v>2642908.600000001</v>
          </cell>
          <cell r="AV168">
            <v>7648.7999999999993</v>
          </cell>
          <cell r="AW168">
            <v>13786.7</v>
          </cell>
          <cell r="AX168">
            <v>2664344.100000001</v>
          </cell>
          <cell r="AY168">
            <v>2695374.9</v>
          </cell>
          <cell r="AZ168">
            <v>27561.200000000001</v>
          </cell>
          <cell r="BA168">
            <v>34736.300000000003</v>
          </cell>
          <cell r="BB168">
            <v>2757672.4</v>
          </cell>
          <cell r="BC168">
            <v>2505493.4000000004</v>
          </cell>
          <cell r="BD168">
            <v>92667.199999999997</v>
          </cell>
          <cell r="BE168">
            <v>27111.200000000004</v>
          </cell>
          <cell r="BF168">
            <v>2625271.7999999998</v>
          </cell>
          <cell r="BG168">
            <v>2852339.2</v>
          </cell>
          <cell r="BH168">
            <v>91395.199999999983</v>
          </cell>
          <cell r="BI168">
            <v>18682.3</v>
          </cell>
          <cell r="BJ168">
            <v>2962416.6999999997</v>
          </cell>
          <cell r="BK168">
            <v>2942959.7999999989</v>
          </cell>
          <cell r="BL168">
            <v>99981.2</v>
          </cell>
          <cell r="BM168">
            <v>59184.200000000004</v>
          </cell>
          <cell r="BN168">
            <v>3102125.1999999997</v>
          </cell>
          <cell r="BO168">
            <v>3071758.6000000006</v>
          </cell>
          <cell r="BP168">
            <v>146895.5</v>
          </cell>
          <cell r="BQ168">
            <v>61306.399999999994</v>
          </cell>
          <cell r="BR168">
            <v>3279960.4999999991</v>
          </cell>
          <cell r="BS168">
            <v>3453699.1999999997</v>
          </cell>
          <cell r="BT168">
            <v>114624.79999999999</v>
          </cell>
          <cell r="BU168">
            <v>50417.2</v>
          </cell>
          <cell r="BV168">
            <v>3618741.1999999997</v>
          </cell>
          <cell r="BW168">
            <v>3535970.6999999993</v>
          </cell>
          <cell r="BX168">
            <v>58458.6</v>
          </cell>
          <cell r="BY168">
            <v>112296.9</v>
          </cell>
          <cell r="BZ168">
            <v>3706726.1999999993</v>
          </cell>
          <cell r="CA168">
            <v>3730403.4</v>
          </cell>
          <cell r="CB168">
            <v>66520.7</v>
          </cell>
          <cell r="CC168">
            <v>106981.79999999999</v>
          </cell>
          <cell r="CD168">
            <v>3903905.9000000008</v>
          </cell>
          <cell r="CE168">
            <v>3768509.3000000007</v>
          </cell>
          <cell r="CF168">
            <v>90173.900000000009</v>
          </cell>
          <cell r="CG168">
            <v>59194.2</v>
          </cell>
          <cell r="CH168">
            <v>3917877.4</v>
          </cell>
          <cell r="CI168">
            <v>3818784.5999999987</v>
          </cell>
          <cell r="CJ168">
            <v>64936.9</v>
          </cell>
          <cell r="CK168">
            <v>111360</v>
          </cell>
          <cell r="CL168">
            <v>3995081.4999999995</v>
          </cell>
          <cell r="CM168">
            <v>3835956.2</v>
          </cell>
          <cell r="CN168">
            <v>28110.9</v>
          </cell>
          <cell r="CO168">
            <v>55149.2</v>
          </cell>
          <cell r="CP168">
            <v>3919216.3000000003</v>
          </cell>
          <cell r="CQ168">
            <v>3877542.2</v>
          </cell>
          <cell r="CR168">
            <v>75908.399999999994</v>
          </cell>
          <cell r="CS168">
            <v>23751.499999999996</v>
          </cell>
          <cell r="CT168">
            <v>3977202.100000001</v>
          </cell>
          <cell r="CU168">
            <v>4025424.9</v>
          </cell>
          <cell r="CV168">
            <v>26686.5</v>
          </cell>
          <cell r="CW168">
            <v>104573.8</v>
          </cell>
          <cell r="CX168">
            <v>4156685.1999999993</v>
          </cell>
          <cell r="CY168">
            <v>4253981.2999999989</v>
          </cell>
          <cell r="CZ168">
            <v>124975.2</v>
          </cell>
          <cell r="DA168">
            <v>8190.5069999999996</v>
          </cell>
          <cell r="DB168">
            <v>4387147.0069999984</v>
          </cell>
          <cell r="DC168">
            <v>4303008.5</v>
          </cell>
          <cell r="DD168">
            <v>0</v>
          </cell>
          <cell r="DE168">
            <v>0</v>
          </cell>
          <cell r="DF168">
            <v>4303008.5</v>
          </cell>
        </row>
        <row r="170">
          <cell r="B170" t="str">
            <v>General Fund Group</v>
          </cell>
          <cell r="C170">
            <v>446941.1</v>
          </cell>
          <cell r="D170">
            <v>44490.928999999996</v>
          </cell>
          <cell r="E170">
            <v>0</v>
          </cell>
          <cell r="F170">
            <v>491432.02899999998</v>
          </cell>
          <cell r="G170">
            <v>540153.5</v>
          </cell>
          <cell r="H170">
            <v>37312.781999999999</v>
          </cell>
          <cell r="I170">
            <v>0</v>
          </cell>
          <cell r="J170">
            <v>577466.28200000001</v>
          </cell>
          <cell r="K170">
            <v>659584.19999999995</v>
          </cell>
          <cell r="L170">
            <v>28066.940999999999</v>
          </cell>
          <cell r="M170">
            <v>0</v>
          </cell>
          <cell r="N170">
            <v>687651.14099999995</v>
          </cell>
          <cell r="O170">
            <v>784549.29999999993</v>
          </cell>
          <cell r="P170">
            <v>23074.587</v>
          </cell>
          <cell r="Q170">
            <v>0</v>
          </cell>
          <cell r="R170">
            <v>807623.88699999999</v>
          </cell>
          <cell r="S170">
            <v>893785.9</v>
          </cell>
          <cell r="T170">
            <v>13395.199999999999</v>
          </cell>
          <cell r="U170">
            <v>0</v>
          </cell>
          <cell r="V170">
            <v>907181.10000000009</v>
          </cell>
          <cell r="W170">
            <v>961907.3</v>
          </cell>
          <cell r="X170">
            <v>92607.8</v>
          </cell>
          <cell r="Y170">
            <v>0</v>
          </cell>
          <cell r="Z170">
            <v>1054515.1000000001</v>
          </cell>
          <cell r="AA170">
            <v>1444902.8</v>
          </cell>
          <cell r="AB170">
            <v>88944.3</v>
          </cell>
          <cell r="AC170">
            <v>0</v>
          </cell>
          <cell r="AD170">
            <v>1533847.1</v>
          </cell>
          <cell r="AE170">
            <v>1927097.4000000001</v>
          </cell>
          <cell r="AF170">
            <v>11990.9</v>
          </cell>
          <cell r="AG170">
            <v>0</v>
          </cell>
          <cell r="AH170">
            <v>1939088.2999999998</v>
          </cell>
          <cell r="AI170">
            <v>1928100.5</v>
          </cell>
          <cell r="AJ170">
            <v>38935.599999999999</v>
          </cell>
          <cell r="AK170">
            <v>300</v>
          </cell>
          <cell r="AL170">
            <v>1967336.1</v>
          </cell>
          <cell r="AM170">
            <v>1789091.2999999998</v>
          </cell>
          <cell r="AN170">
            <v>18156</v>
          </cell>
          <cell r="AO170">
            <v>44.399999999999977</v>
          </cell>
          <cell r="AP170">
            <v>1807291.7</v>
          </cell>
          <cell r="AQ170">
            <v>2261397.5</v>
          </cell>
          <cell r="AR170">
            <v>13633.2</v>
          </cell>
          <cell r="AS170">
            <v>0</v>
          </cell>
          <cell r="AT170">
            <v>2275030.6999999997</v>
          </cell>
          <cell r="AU170">
            <v>2026394.4</v>
          </cell>
          <cell r="AV170">
            <v>6936.4</v>
          </cell>
          <cell r="AW170">
            <v>0</v>
          </cell>
          <cell r="AX170">
            <v>2033330.8</v>
          </cell>
          <cell r="AY170">
            <v>2022552.7</v>
          </cell>
          <cell r="AZ170">
            <v>22872.9</v>
          </cell>
          <cell r="BA170">
            <v>0</v>
          </cell>
          <cell r="BB170">
            <v>2045425.6</v>
          </cell>
          <cell r="BC170">
            <v>1861365.6</v>
          </cell>
          <cell r="BD170">
            <v>65135.1</v>
          </cell>
          <cell r="BE170">
            <v>3916.1</v>
          </cell>
          <cell r="BF170">
            <v>1930416.8</v>
          </cell>
          <cell r="BG170">
            <v>2131479.8000000003</v>
          </cell>
          <cell r="BH170">
            <v>76294.2</v>
          </cell>
          <cell r="BI170">
            <v>731.69999999999993</v>
          </cell>
          <cell r="BJ170">
            <v>2208505.6999999997</v>
          </cell>
          <cell r="BK170">
            <v>2173105.2000000002</v>
          </cell>
          <cell r="BL170">
            <v>80891.599999999991</v>
          </cell>
          <cell r="BM170">
            <v>22962.400000000001</v>
          </cell>
          <cell r="BN170">
            <v>2276959.2000000002</v>
          </cell>
          <cell r="BO170">
            <v>2188110.1</v>
          </cell>
          <cell r="BP170">
            <v>137626.70000000001</v>
          </cell>
          <cell r="BQ170">
            <v>5451.2</v>
          </cell>
          <cell r="BR170">
            <v>2331187.9999999995</v>
          </cell>
          <cell r="BS170">
            <v>2204496.5</v>
          </cell>
          <cell r="BT170">
            <v>94490.4</v>
          </cell>
          <cell r="BU170">
            <v>7768.6</v>
          </cell>
          <cell r="BV170">
            <v>2306755.5</v>
          </cell>
          <cell r="BW170">
            <v>2173661.7000000002</v>
          </cell>
          <cell r="BX170">
            <v>44666.3</v>
          </cell>
          <cell r="BY170">
            <v>4698</v>
          </cell>
          <cell r="BZ170">
            <v>2223026</v>
          </cell>
          <cell r="CA170">
            <v>2239455.2000000002</v>
          </cell>
          <cell r="CB170">
            <v>37746.799999999996</v>
          </cell>
          <cell r="CC170">
            <v>3351.6</v>
          </cell>
          <cell r="CD170">
            <v>2280553.6</v>
          </cell>
          <cell r="CE170">
            <v>2210548</v>
          </cell>
          <cell r="CF170">
            <v>44389.700000000004</v>
          </cell>
          <cell r="CG170">
            <v>4801.7</v>
          </cell>
          <cell r="CH170">
            <v>2259739.3999999994</v>
          </cell>
          <cell r="CI170">
            <v>2200357.5</v>
          </cell>
          <cell r="CJ170">
            <v>40734.6</v>
          </cell>
          <cell r="CK170">
            <v>2333.8000000000002</v>
          </cell>
          <cell r="CL170">
            <v>2243425.9</v>
          </cell>
          <cell r="CM170">
            <v>2207198.7000000002</v>
          </cell>
          <cell r="CN170">
            <v>8933.6</v>
          </cell>
          <cell r="CO170">
            <v>4243.5</v>
          </cell>
          <cell r="CP170">
            <v>2220375.8000000003</v>
          </cell>
          <cell r="CQ170">
            <v>2131936.2000000002</v>
          </cell>
          <cell r="CR170">
            <v>31820.399999999998</v>
          </cell>
          <cell r="CS170">
            <v>0</v>
          </cell>
          <cell r="CT170">
            <v>2163756.6</v>
          </cell>
          <cell r="CU170">
            <v>2158265.7999999998</v>
          </cell>
          <cell r="CV170">
            <v>13595.800000000001</v>
          </cell>
          <cell r="CW170">
            <v>0</v>
          </cell>
          <cell r="CX170">
            <v>2171861.6</v>
          </cell>
          <cell r="CY170">
            <v>2195040.9999999995</v>
          </cell>
          <cell r="CZ170">
            <v>26809.899999999998</v>
          </cell>
          <cell r="DA170">
            <v>0</v>
          </cell>
          <cell r="DB170">
            <v>2221850.9</v>
          </cell>
          <cell r="DC170">
            <v>2126991.0000000005</v>
          </cell>
          <cell r="DD170">
            <v>0</v>
          </cell>
          <cell r="DE170">
            <v>0</v>
          </cell>
          <cell r="DF170">
            <v>2126991.0000000005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555"/>
  <sheetViews>
    <sheetView tabSelected="1" zoomScaleNormal="100" workbookViewId="0">
      <pane xSplit="6" ySplit="1" topLeftCell="G38" activePane="bottomRight" state="frozen"/>
      <selection pane="topRight" activeCell="B1" sqref="B1"/>
      <selection pane="bottomLeft" activeCell="A2" sqref="A2"/>
      <selection pane="bottomRight" activeCell="AF79" sqref="AF79"/>
    </sheetView>
  </sheetViews>
  <sheetFormatPr defaultRowHeight="15"/>
  <cols>
    <col min="1" max="1" width="6.5703125" style="86" bestFit="1" customWidth="1"/>
    <col min="2" max="2" width="9.42578125" style="78" bestFit="1" customWidth="1"/>
    <col min="3" max="3" width="11" style="85" bestFit="1" customWidth="1"/>
    <col min="4" max="4" width="6.42578125" style="80" bestFit="1" customWidth="1"/>
    <col min="5" max="5" width="7.28515625" style="81" bestFit="1" customWidth="1"/>
    <col min="6" max="6" width="9.42578125" style="78" customWidth="1"/>
    <col min="7" max="7" width="7.85546875" style="113" bestFit="1" customWidth="1"/>
    <col min="8" max="8" width="11" style="78" customWidth="1"/>
    <col min="9" max="9" width="9.7109375" style="78" bestFit="1" customWidth="1"/>
    <col min="10" max="10" width="9.5703125" style="78" bestFit="1" customWidth="1"/>
    <col min="11" max="11" width="9.140625" style="78" customWidth="1"/>
    <col min="12" max="12" width="9.5703125" style="78" bestFit="1" customWidth="1"/>
    <col min="13" max="13" width="9.140625" style="78" bestFit="1" customWidth="1"/>
    <col min="14" max="14" width="10.42578125" style="78" customWidth="1"/>
    <col min="15" max="15" width="11.140625" style="87" bestFit="1" customWidth="1"/>
    <col min="16" max="16" width="11.5703125" style="78" customWidth="1"/>
    <col min="17" max="17" width="9.140625" style="78" bestFit="1" customWidth="1"/>
    <col min="18" max="18" width="11.7109375" style="78" customWidth="1"/>
    <col min="19" max="19" width="9.7109375" style="88" bestFit="1" customWidth="1"/>
    <col min="20" max="20" width="10.5703125" style="78" bestFit="1" customWidth="1"/>
    <col min="21" max="21" width="2.28515625" style="42" customWidth="1"/>
    <col min="22" max="22" width="10.28515625" style="89" bestFit="1" customWidth="1"/>
    <col min="23" max="23" width="9.140625" style="78" bestFit="1" customWidth="1"/>
    <col min="24" max="24" width="9" style="78" bestFit="1" customWidth="1"/>
    <col min="25" max="25" width="8.7109375" style="87" bestFit="1" customWidth="1"/>
    <col min="26" max="26" width="9.7109375" style="78" bestFit="1" customWidth="1"/>
    <col min="27" max="27" width="9.28515625" style="82" bestFit="1" customWidth="1"/>
    <col min="28" max="28" width="9.85546875" style="89" bestFit="1" customWidth="1"/>
    <col min="29" max="31" width="9.28515625" style="78" bestFit="1" customWidth="1"/>
    <col min="32" max="32" width="10.28515625" style="78" bestFit="1" customWidth="1"/>
    <col min="33" max="35" width="9.28515625" style="78" bestFit="1" customWidth="1"/>
    <col min="36" max="40" width="9.28515625" style="78" customWidth="1"/>
    <col min="41" max="42" width="12.42578125" style="82" bestFit="1" customWidth="1"/>
    <col min="43" max="44" width="9.28515625" style="78" bestFit="1" customWidth="1"/>
    <col min="45" max="16384" width="9.140625" style="78"/>
  </cols>
  <sheetData>
    <row r="1" spans="1:44" s="7" customFormat="1" ht="53.25">
      <c r="A1" s="1" t="s">
        <v>0</v>
      </c>
      <c r="B1" s="2" t="s">
        <v>1</v>
      </c>
      <c r="C1" s="2" t="s">
        <v>2</v>
      </c>
      <c r="D1" s="2" t="s">
        <v>3</v>
      </c>
      <c r="E1" s="3" t="s">
        <v>4</v>
      </c>
      <c r="F1" s="2" t="s">
        <v>5</v>
      </c>
      <c r="G1" s="2" t="s">
        <v>6</v>
      </c>
      <c r="H1" s="4" t="s">
        <v>7</v>
      </c>
      <c r="I1" s="4" t="s">
        <v>8</v>
      </c>
      <c r="J1" s="4" t="s">
        <v>9</v>
      </c>
      <c r="K1" s="4" t="s">
        <v>10</v>
      </c>
      <c r="L1" s="4" t="s">
        <v>11</v>
      </c>
      <c r="M1" s="4" t="s">
        <v>12</v>
      </c>
      <c r="N1" s="4" t="s">
        <v>13</v>
      </c>
      <c r="O1" s="4" t="s">
        <v>14</v>
      </c>
      <c r="P1" s="4" t="s">
        <v>15</v>
      </c>
      <c r="Q1" s="4" t="s">
        <v>16</v>
      </c>
      <c r="R1" s="4" t="s">
        <v>17</v>
      </c>
      <c r="S1" s="5" t="s">
        <v>18</v>
      </c>
      <c r="T1" s="5" t="s">
        <v>19</v>
      </c>
      <c r="U1" s="6"/>
      <c r="V1" s="4" t="s">
        <v>20</v>
      </c>
      <c r="W1" s="4" t="s">
        <v>21</v>
      </c>
      <c r="X1" s="4" t="s">
        <v>22</v>
      </c>
      <c r="Y1" s="4" t="s">
        <v>23</v>
      </c>
      <c r="Z1" s="4" t="s">
        <v>24</v>
      </c>
      <c r="AA1" s="5" t="s">
        <v>25</v>
      </c>
      <c r="AB1" s="4" t="s">
        <v>26</v>
      </c>
      <c r="AC1" s="4" t="s">
        <v>27</v>
      </c>
      <c r="AE1" s="8" t="s">
        <v>28</v>
      </c>
      <c r="AF1" s="4" t="s">
        <v>29</v>
      </c>
      <c r="AG1" s="4" t="s">
        <v>30</v>
      </c>
      <c r="AH1" s="4" t="s">
        <v>31</v>
      </c>
      <c r="AJ1" s="8" t="s">
        <v>32</v>
      </c>
      <c r="AK1" s="4" t="s">
        <v>33</v>
      </c>
      <c r="AL1" s="4" t="s">
        <v>34</v>
      </c>
      <c r="AM1" s="4" t="s">
        <v>35</v>
      </c>
      <c r="AN1" s="9"/>
      <c r="AO1" s="8" t="s">
        <v>36</v>
      </c>
      <c r="AP1" s="4" t="s">
        <v>37</v>
      </c>
      <c r="AQ1" s="4" t="s">
        <v>38</v>
      </c>
      <c r="AR1" s="4" t="s">
        <v>39</v>
      </c>
    </row>
    <row r="2" spans="1:44" s="11" customFormat="1">
      <c r="A2" s="10" t="s">
        <v>40</v>
      </c>
      <c r="B2" s="11" t="s">
        <v>41</v>
      </c>
      <c r="C2" s="12">
        <v>224000</v>
      </c>
      <c r="D2" s="13"/>
      <c r="E2" s="14"/>
      <c r="G2" s="15"/>
      <c r="H2" s="16"/>
      <c r="I2" s="17"/>
      <c r="J2" s="16"/>
      <c r="K2" s="16"/>
      <c r="L2" s="16">
        <v>3.1</v>
      </c>
      <c r="M2" s="16"/>
      <c r="N2" s="16"/>
      <c r="O2" s="18">
        <f t="shared" ref="O2:O46" si="0">SUM(H2:N2)</f>
        <v>3.1</v>
      </c>
      <c r="P2" s="17">
        <f>O2</f>
        <v>3.1</v>
      </c>
      <c r="Q2" s="19">
        <v>22.3</v>
      </c>
      <c r="R2" s="19"/>
      <c r="S2" s="20">
        <f>+O2+Q2</f>
        <v>25.400000000000002</v>
      </c>
      <c r="T2" s="21">
        <f t="shared" ref="T2:T65" si="1">O2/S2</f>
        <v>0.12204724409448818</v>
      </c>
      <c r="U2" s="22"/>
      <c r="V2" s="23">
        <v>0</v>
      </c>
      <c r="W2" s="24"/>
      <c r="X2" s="25">
        <f>+V2+W2</f>
        <v>0</v>
      </c>
      <c r="Y2" s="26">
        <v>0</v>
      </c>
      <c r="Z2" s="25">
        <f t="shared" ref="Z2:Z64" si="2">+X2+Y2</f>
        <v>0</v>
      </c>
      <c r="AA2" s="24"/>
      <c r="AB2" s="26"/>
      <c r="AC2" s="25">
        <f t="shared" ref="AC2:AC34" si="3">+AA2+AB2</f>
        <v>0</v>
      </c>
      <c r="AO2" s="17"/>
      <c r="AP2" s="17"/>
    </row>
    <row r="3" spans="1:44" s="11" customFormat="1">
      <c r="A3" s="10" t="s">
        <v>42</v>
      </c>
      <c r="B3" s="11" t="s">
        <v>41</v>
      </c>
      <c r="C3" s="12">
        <v>230400</v>
      </c>
      <c r="D3" s="13"/>
      <c r="E3" s="14"/>
      <c r="G3" s="15"/>
      <c r="H3" s="16"/>
      <c r="I3" s="17"/>
      <c r="J3" s="16"/>
      <c r="K3" s="16"/>
      <c r="L3" s="16">
        <v>5.8</v>
      </c>
      <c r="M3" s="16">
        <v>4.0999999999999996</v>
      </c>
      <c r="N3" s="16"/>
      <c r="O3" s="18">
        <f t="shared" si="0"/>
        <v>9.8999999999999986</v>
      </c>
      <c r="P3" s="17">
        <f>$P2+O3</f>
        <v>12.999999999999998</v>
      </c>
      <c r="Q3" s="19">
        <v>38.1</v>
      </c>
      <c r="R3" s="19"/>
      <c r="S3" s="20">
        <f t="shared" ref="S3:S50" si="4">+O3+Q3</f>
        <v>48</v>
      </c>
      <c r="T3" s="21">
        <f t="shared" si="1"/>
        <v>0.20624999999999996</v>
      </c>
      <c r="U3" s="22"/>
      <c r="V3" s="23">
        <v>0</v>
      </c>
      <c r="W3" s="24"/>
      <c r="X3" s="25">
        <f t="shared" ref="X3:X63" si="5">+V3+W3</f>
        <v>0</v>
      </c>
      <c r="Y3" s="26">
        <v>0</v>
      </c>
      <c r="Z3" s="25">
        <f t="shared" si="2"/>
        <v>0</v>
      </c>
      <c r="AA3" s="24"/>
      <c r="AB3" s="26"/>
      <c r="AC3" s="25">
        <f t="shared" si="3"/>
        <v>0</v>
      </c>
      <c r="AO3" s="17"/>
      <c r="AP3" s="17"/>
    </row>
    <row r="4" spans="1:44" s="11" customFormat="1">
      <c r="A4" s="10" t="s">
        <v>43</v>
      </c>
      <c r="B4" s="11" t="s">
        <v>41</v>
      </c>
      <c r="C4" s="12">
        <v>236700</v>
      </c>
      <c r="D4" s="27">
        <v>34.5</v>
      </c>
      <c r="E4" s="14"/>
      <c r="F4" s="28">
        <f t="shared" ref="F4:F36" si="6">+$D$58/D4</f>
        <v>6.286956521739131</v>
      </c>
      <c r="G4" s="15"/>
      <c r="H4" s="16"/>
      <c r="I4" s="17"/>
      <c r="J4" s="16"/>
      <c r="K4" s="16"/>
      <c r="L4" s="16">
        <v>2.4</v>
      </c>
      <c r="M4" s="16">
        <v>1.8</v>
      </c>
      <c r="N4" s="16"/>
      <c r="O4" s="18">
        <f t="shared" si="0"/>
        <v>4.2</v>
      </c>
      <c r="P4" s="17">
        <f>$P3+O4</f>
        <v>17.2</v>
      </c>
      <c r="Q4" s="19">
        <v>36.299999999999997</v>
      </c>
      <c r="R4" s="19"/>
      <c r="S4" s="20">
        <f t="shared" si="4"/>
        <v>40.5</v>
      </c>
      <c r="T4" s="21">
        <f t="shared" si="1"/>
        <v>0.10370370370370371</v>
      </c>
      <c r="U4" s="22"/>
      <c r="V4" s="23">
        <v>0</v>
      </c>
      <c r="W4" s="24"/>
      <c r="X4" s="25">
        <f t="shared" si="5"/>
        <v>0</v>
      </c>
      <c r="Y4" s="26">
        <v>0</v>
      </c>
      <c r="Z4" s="25">
        <f t="shared" si="2"/>
        <v>0</v>
      </c>
      <c r="AA4" s="24"/>
      <c r="AB4" s="26"/>
      <c r="AC4" s="25">
        <f t="shared" si="3"/>
        <v>0</v>
      </c>
      <c r="AO4" s="17"/>
      <c r="AP4" s="17"/>
    </row>
    <row r="5" spans="1:44" s="11" customFormat="1">
      <c r="A5" s="10" t="s">
        <v>44</v>
      </c>
      <c r="B5" s="29" t="s">
        <v>41</v>
      </c>
      <c r="C5" s="12">
        <v>242800</v>
      </c>
      <c r="D5" s="27">
        <v>34.700000000000003</v>
      </c>
      <c r="E5" s="30">
        <f>+D5/D4-1</f>
        <v>5.7971014492754769E-3</v>
      </c>
      <c r="F5" s="28">
        <f t="shared" si="6"/>
        <v>6.2507204610951002</v>
      </c>
      <c r="G5" s="15"/>
      <c r="H5" s="16"/>
      <c r="I5" s="17">
        <v>0.2</v>
      </c>
      <c r="J5" s="16"/>
      <c r="K5" s="16"/>
      <c r="L5" s="16">
        <v>4.5</v>
      </c>
      <c r="M5" s="16">
        <v>21.3</v>
      </c>
      <c r="N5" s="16"/>
      <c r="O5" s="18">
        <f t="shared" si="0"/>
        <v>26</v>
      </c>
      <c r="P5" s="17">
        <f t="shared" ref="P5:P55" si="7">$P4+O5</f>
        <v>43.2</v>
      </c>
      <c r="Q5" s="19">
        <v>42.9</v>
      </c>
      <c r="R5" s="19"/>
      <c r="S5" s="20">
        <f t="shared" si="4"/>
        <v>68.900000000000006</v>
      </c>
      <c r="T5" s="21">
        <f t="shared" si="1"/>
        <v>0.37735849056603771</v>
      </c>
      <c r="U5" s="22"/>
      <c r="V5" s="23">
        <v>0</v>
      </c>
      <c r="W5" s="24"/>
      <c r="X5" s="25">
        <f t="shared" si="5"/>
        <v>0</v>
      </c>
      <c r="Y5" s="26">
        <v>0</v>
      </c>
      <c r="Z5" s="25">
        <f t="shared" si="2"/>
        <v>0</v>
      </c>
      <c r="AA5" s="24"/>
      <c r="AB5" s="26"/>
      <c r="AC5" s="25">
        <f t="shared" si="3"/>
        <v>0</v>
      </c>
      <c r="AO5" s="17"/>
      <c r="AP5" s="17"/>
    </row>
    <row r="6" spans="1:44" s="11" customFormat="1">
      <c r="A6" s="10" t="s">
        <v>45</v>
      </c>
      <c r="B6" s="29" t="s">
        <v>41</v>
      </c>
      <c r="C6" s="12">
        <v>249900</v>
      </c>
      <c r="D6" s="27">
        <v>34.799999999999997</v>
      </c>
      <c r="E6" s="30">
        <f t="shared" ref="E6:E58" si="8">+D6/D5-1</f>
        <v>2.8818443804032867E-3</v>
      </c>
      <c r="F6" s="28">
        <f t="shared" si="6"/>
        <v>6.2327586206896557</v>
      </c>
      <c r="G6" s="15"/>
      <c r="H6" s="16"/>
      <c r="I6" s="17">
        <v>0.3</v>
      </c>
      <c r="J6" s="16"/>
      <c r="K6" s="16"/>
      <c r="L6" s="16">
        <v>8.6</v>
      </c>
      <c r="M6" s="16">
        <v>18.899999999999999</v>
      </c>
      <c r="N6" s="16"/>
      <c r="O6" s="18">
        <f t="shared" si="0"/>
        <v>27.799999999999997</v>
      </c>
      <c r="P6" s="17">
        <f t="shared" si="7"/>
        <v>71</v>
      </c>
      <c r="Q6" s="19">
        <v>43.8</v>
      </c>
      <c r="R6" s="19"/>
      <c r="S6" s="20">
        <f t="shared" si="4"/>
        <v>71.599999999999994</v>
      </c>
      <c r="T6" s="21">
        <f t="shared" si="1"/>
        <v>0.38826815642458101</v>
      </c>
      <c r="U6" s="22"/>
      <c r="V6" s="23">
        <v>0</v>
      </c>
      <c r="W6" s="24"/>
      <c r="X6" s="25">
        <f t="shared" si="5"/>
        <v>0</v>
      </c>
      <c r="Y6" s="26">
        <v>0</v>
      </c>
      <c r="Z6" s="25">
        <f t="shared" si="2"/>
        <v>0</v>
      </c>
      <c r="AA6" s="24"/>
      <c r="AB6" s="26"/>
      <c r="AC6" s="25">
        <f t="shared" si="3"/>
        <v>0</v>
      </c>
      <c r="AO6" s="17"/>
      <c r="AP6" s="17"/>
    </row>
    <row r="7" spans="1:44" s="11" customFormat="1">
      <c r="A7" s="10" t="s">
        <v>46</v>
      </c>
      <c r="B7" s="29" t="s">
        <v>41</v>
      </c>
      <c r="C7" s="12">
        <v>253200</v>
      </c>
      <c r="D7" s="27">
        <v>35</v>
      </c>
      <c r="E7" s="30">
        <f t="shared" si="8"/>
        <v>5.7471264367816577E-3</v>
      </c>
      <c r="F7" s="28">
        <f t="shared" si="6"/>
        <v>6.1971428571428575</v>
      </c>
      <c r="G7" s="15"/>
      <c r="H7" s="16"/>
      <c r="I7" s="17">
        <v>0.3</v>
      </c>
      <c r="J7" s="16"/>
      <c r="K7" s="16"/>
      <c r="L7" s="16">
        <v>8.6999999999999993</v>
      </c>
      <c r="M7" s="16">
        <v>5.9</v>
      </c>
      <c r="N7" s="16"/>
      <c r="O7" s="18">
        <f t="shared" si="0"/>
        <v>14.9</v>
      </c>
      <c r="P7" s="17">
        <f t="shared" si="7"/>
        <v>85.9</v>
      </c>
      <c r="Q7" s="19">
        <v>52.1</v>
      </c>
      <c r="R7" s="19"/>
      <c r="S7" s="20">
        <f t="shared" si="4"/>
        <v>67</v>
      </c>
      <c r="T7" s="21">
        <f t="shared" si="1"/>
        <v>0.22238805970149253</v>
      </c>
      <c r="U7" s="22"/>
      <c r="V7" s="23">
        <v>0</v>
      </c>
      <c r="W7" s="24"/>
      <c r="X7" s="25">
        <f t="shared" si="5"/>
        <v>0</v>
      </c>
      <c r="Y7" s="26">
        <v>0</v>
      </c>
      <c r="Z7" s="25">
        <f t="shared" si="2"/>
        <v>0</v>
      </c>
      <c r="AA7" s="24"/>
      <c r="AB7" s="26"/>
      <c r="AC7" s="25">
        <f t="shared" si="3"/>
        <v>0</v>
      </c>
      <c r="AO7" s="17"/>
      <c r="AP7" s="17"/>
    </row>
    <row r="8" spans="1:44" s="11" customFormat="1">
      <c r="A8" s="10" t="s">
        <v>47</v>
      </c>
      <c r="B8" s="29" t="s">
        <v>41</v>
      </c>
      <c r="C8" s="12">
        <v>265200</v>
      </c>
      <c r="D8" s="27">
        <v>35.299999999999997</v>
      </c>
      <c r="E8" s="30">
        <f t="shared" si="8"/>
        <v>8.5714285714284522E-3</v>
      </c>
      <c r="F8" s="28">
        <f t="shared" si="6"/>
        <v>6.1444759206798869</v>
      </c>
      <c r="G8" s="15"/>
      <c r="H8" s="16"/>
      <c r="I8" s="17">
        <v>0.3</v>
      </c>
      <c r="J8" s="16"/>
      <c r="K8" s="16"/>
      <c r="L8" s="16">
        <v>8.4</v>
      </c>
      <c r="M8" s="16">
        <v>7.8</v>
      </c>
      <c r="N8" s="16"/>
      <c r="O8" s="18">
        <f t="shared" si="0"/>
        <v>16.5</v>
      </c>
      <c r="P8" s="17">
        <f t="shared" si="7"/>
        <v>102.4</v>
      </c>
      <c r="Q8" s="17">
        <v>66.5</v>
      </c>
      <c r="R8" s="17"/>
      <c r="S8" s="20">
        <f t="shared" si="4"/>
        <v>83</v>
      </c>
      <c r="T8" s="21">
        <f t="shared" si="1"/>
        <v>0.19879518072289157</v>
      </c>
      <c r="U8" s="22"/>
      <c r="V8" s="23">
        <v>0</v>
      </c>
      <c r="W8" s="24"/>
      <c r="X8" s="25">
        <f t="shared" si="5"/>
        <v>0</v>
      </c>
      <c r="Y8" s="26">
        <v>0</v>
      </c>
      <c r="Z8" s="25">
        <f t="shared" si="2"/>
        <v>0</v>
      </c>
      <c r="AA8" s="24"/>
      <c r="AB8" s="26"/>
      <c r="AC8" s="25">
        <f t="shared" si="3"/>
        <v>0</v>
      </c>
      <c r="AO8" s="17"/>
      <c r="AP8" s="17"/>
    </row>
    <row r="9" spans="1:44" s="11" customFormat="1">
      <c r="A9" s="10" t="s">
        <v>48</v>
      </c>
      <c r="B9" s="29" t="s">
        <v>41</v>
      </c>
      <c r="C9" s="12">
        <v>271500</v>
      </c>
      <c r="D9" s="27">
        <v>36.299999999999997</v>
      </c>
      <c r="E9" s="30">
        <f t="shared" si="8"/>
        <v>2.8328611898017053E-2</v>
      </c>
      <c r="F9" s="28">
        <f t="shared" si="6"/>
        <v>5.9752066115702487</v>
      </c>
      <c r="G9" s="15"/>
      <c r="H9" s="16"/>
      <c r="I9" s="17">
        <v>0.3</v>
      </c>
      <c r="J9" s="16"/>
      <c r="K9" s="16"/>
      <c r="L9" s="16">
        <v>8</v>
      </c>
      <c r="M9" s="16">
        <v>13.3</v>
      </c>
      <c r="N9" s="16"/>
      <c r="O9" s="18">
        <f t="shared" si="0"/>
        <v>21.6</v>
      </c>
      <c r="P9" s="17">
        <f t="shared" si="7"/>
        <v>124</v>
      </c>
      <c r="Q9" s="17">
        <v>64.900000000000006</v>
      </c>
      <c r="R9" s="17"/>
      <c r="S9" s="20">
        <f t="shared" si="4"/>
        <v>86.5</v>
      </c>
      <c r="T9" s="21">
        <f t="shared" si="1"/>
        <v>0.24971098265895955</v>
      </c>
      <c r="U9" s="22"/>
      <c r="V9" s="23">
        <v>0</v>
      </c>
      <c r="W9" s="24"/>
      <c r="X9" s="25">
        <f t="shared" si="5"/>
        <v>0</v>
      </c>
      <c r="Y9" s="26">
        <v>0</v>
      </c>
      <c r="Z9" s="25">
        <f t="shared" si="2"/>
        <v>0</v>
      </c>
      <c r="AA9" s="24"/>
      <c r="AB9" s="26"/>
      <c r="AC9" s="25">
        <f t="shared" si="3"/>
        <v>0</v>
      </c>
      <c r="AO9" s="17"/>
      <c r="AP9" s="17"/>
    </row>
    <row r="10" spans="1:44" s="11" customFormat="1">
      <c r="A10" s="10" t="s">
        <v>49</v>
      </c>
      <c r="B10" s="29" t="s">
        <v>50</v>
      </c>
      <c r="C10" s="12">
        <v>277900</v>
      </c>
      <c r="D10" s="27">
        <v>37.200000000000003</v>
      </c>
      <c r="E10" s="30">
        <f t="shared" si="8"/>
        <v>2.4793388429752206E-2</v>
      </c>
      <c r="F10" s="28">
        <f t="shared" si="6"/>
        <v>5.8306451612903221</v>
      </c>
      <c r="G10" s="15"/>
      <c r="H10" s="16"/>
      <c r="I10" s="17">
        <v>0.5</v>
      </c>
      <c r="J10" s="16"/>
      <c r="K10" s="16"/>
      <c r="L10" s="16">
        <v>9.6</v>
      </c>
      <c r="M10" s="16">
        <v>11.4</v>
      </c>
      <c r="N10" s="16"/>
      <c r="O10" s="18">
        <f t="shared" si="0"/>
        <v>21.5</v>
      </c>
      <c r="P10" s="17">
        <f t="shared" si="7"/>
        <v>145.5</v>
      </c>
      <c r="Q10" s="17">
        <v>65.099999999999994</v>
      </c>
      <c r="R10" s="17"/>
      <c r="S10" s="20">
        <f t="shared" si="4"/>
        <v>86.6</v>
      </c>
      <c r="T10" s="21">
        <f t="shared" si="1"/>
        <v>0.24826789838337185</v>
      </c>
      <c r="U10" s="22"/>
      <c r="V10" s="23">
        <v>0</v>
      </c>
      <c r="W10" s="24"/>
      <c r="X10" s="25">
        <f t="shared" si="5"/>
        <v>0</v>
      </c>
      <c r="Y10" s="26">
        <v>0</v>
      </c>
      <c r="Z10" s="25">
        <f t="shared" si="2"/>
        <v>0</v>
      </c>
      <c r="AA10" s="24"/>
      <c r="AB10" s="26"/>
      <c r="AC10" s="25">
        <f t="shared" si="3"/>
        <v>0</v>
      </c>
      <c r="AO10" s="17"/>
      <c r="AP10" s="17"/>
    </row>
    <row r="11" spans="1:44" s="11" customFormat="1">
      <c r="A11" s="10" t="s">
        <v>51</v>
      </c>
      <c r="B11" s="29" t="s">
        <v>50</v>
      </c>
      <c r="C11" s="12">
        <v>284900</v>
      </c>
      <c r="D11" s="27">
        <v>38.1</v>
      </c>
      <c r="E11" s="30">
        <f t="shared" si="8"/>
        <v>2.4193548387096753E-2</v>
      </c>
      <c r="F11" s="28">
        <f t="shared" si="6"/>
        <v>5.6929133858267713</v>
      </c>
      <c r="G11" s="15"/>
      <c r="H11" s="16">
        <v>0.1</v>
      </c>
      <c r="I11" s="17">
        <v>10.199999999999999</v>
      </c>
      <c r="J11" s="16"/>
      <c r="K11" s="16"/>
      <c r="L11" s="16">
        <v>17</v>
      </c>
      <c r="M11" s="16">
        <v>24.7</v>
      </c>
      <c r="N11" s="16"/>
      <c r="O11" s="18">
        <f t="shared" si="0"/>
        <v>52</v>
      </c>
      <c r="P11" s="17">
        <f t="shared" si="7"/>
        <v>197.5</v>
      </c>
      <c r="Q11" s="17">
        <v>60.7</v>
      </c>
      <c r="R11" s="17"/>
      <c r="S11" s="20">
        <f t="shared" si="4"/>
        <v>112.7</v>
      </c>
      <c r="T11" s="21">
        <f t="shared" si="1"/>
        <v>0.46140195208518187</v>
      </c>
      <c r="U11" s="22"/>
      <c r="V11" s="23">
        <v>0</v>
      </c>
      <c r="W11" s="24"/>
      <c r="X11" s="25">
        <f t="shared" si="5"/>
        <v>0</v>
      </c>
      <c r="Y11" s="26">
        <v>0</v>
      </c>
      <c r="Z11" s="25">
        <f t="shared" si="2"/>
        <v>0</v>
      </c>
      <c r="AA11" s="24"/>
      <c r="AB11" s="26"/>
      <c r="AC11" s="25">
        <f t="shared" si="3"/>
        <v>0</v>
      </c>
      <c r="AO11" s="17"/>
      <c r="AP11" s="17"/>
    </row>
    <row r="12" spans="1:44" s="11" customFormat="1">
      <c r="A12" s="10" t="s">
        <v>52</v>
      </c>
      <c r="B12" s="29" t="s">
        <v>50</v>
      </c>
      <c r="C12" s="12">
        <v>294600</v>
      </c>
      <c r="D12" s="27">
        <v>39.6</v>
      </c>
      <c r="E12" s="30">
        <f t="shared" si="8"/>
        <v>3.937007874015741E-2</v>
      </c>
      <c r="F12" s="28">
        <f t="shared" si="6"/>
        <v>5.4772727272727275</v>
      </c>
      <c r="G12" s="15"/>
      <c r="H12" s="16">
        <v>0.1</v>
      </c>
      <c r="I12" s="17">
        <v>5.6</v>
      </c>
      <c r="J12" s="16"/>
      <c r="K12" s="16"/>
      <c r="L12" s="16">
        <v>24.7</v>
      </c>
      <c r="M12" s="16">
        <v>4.0999999999999996</v>
      </c>
      <c r="N12" s="16"/>
      <c r="O12" s="18">
        <f t="shared" si="0"/>
        <v>34.5</v>
      </c>
      <c r="P12" s="17">
        <f t="shared" si="7"/>
        <v>232</v>
      </c>
      <c r="Q12" s="17">
        <v>77.900000000000006</v>
      </c>
      <c r="R12" s="17"/>
      <c r="S12" s="20">
        <f t="shared" si="4"/>
        <v>112.4</v>
      </c>
      <c r="T12" s="21">
        <f t="shared" si="1"/>
        <v>0.30693950177935941</v>
      </c>
      <c r="U12" s="22"/>
      <c r="V12" s="23">
        <v>0</v>
      </c>
      <c r="W12" s="24"/>
      <c r="X12" s="25">
        <f t="shared" si="5"/>
        <v>0</v>
      </c>
      <c r="Y12" s="26">
        <v>0</v>
      </c>
      <c r="Z12" s="25">
        <f t="shared" si="2"/>
        <v>0</v>
      </c>
      <c r="AA12" s="24"/>
      <c r="AB12" s="26"/>
      <c r="AC12" s="25">
        <f t="shared" si="3"/>
        <v>0</v>
      </c>
      <c r="AO12" s="17"/>
      <c r="AP12" s="17"/>
    </row>
    <row r="13" spans="1:44" s="11" customFormat="1">
      <c r="A13" s="10" t="s">
        <v>53</v>
      </c>
      <c r="B13" s="29" t="s">
        <v>50</v>
      </c>
      <c r="C13" s="12">
        <v>308500</v>
      </c>
      <c r="D13" s="27">
        <v>41.1</v>
      </c>
      <c r="E13" s="30">
        <f t="shared" si="8"/>
        <v>3.7878787878787845E-2</v>
      </c>
      <c r="F13" s="28">
        <f t="shared" si="6"/>
        <v>5.2773722627737225</v>
      </c>
      <c r="G13" s="15"/>
      <c r="H13" s="16">
        <v>0.4</v>
      </c>
      <c r="I13" s="17">
        <v>7.9</v>
      </c>
      <c r="J13" s="16"/>
      <c r="K13" s="16"/>
      <c r="L13" s="16">
        <v>27.5</v>
      </c>
      <c r="M13" s="16">
        <v>903.1</v>
      </c>
      <c r="N13" s="16"/>
      <c r="O13" s="18">
        <f t="shared" si="0"/>
        <v>938.9</v>
      </c>
      <c r="P13" s="17">
        <f t="shared" si="7"/>
        <v>1170.9000000000001</v>
      </c>
      <c r="Q13" s="17">
        <v>128.4</v>
      </c>
      <c r="R13" s="17"/>
      <c r="S13" s="20">
        <f t="shared" si="4"/>
        <v>1067.3</v>
      </c>
      <c r="T13" s="21">
        <f t="shared" si="1"/>
        <v>0.87969643024454236</v>
      </c>
      <c r="U13" s="22"/>
      <c r="V13" s="23">
        <v>0</v>
      </c>
      <c r="W13" s="24"/>
      <c r="X13" s="25">
        <f t="shared" si="5"/>
        <v>0</v>
      </c>
      <c r="Y13" s="26">
        <v>0</v>
      </c>
      <c r="Z13" s="25">
        <f t="shared" si="2"/>
        <v>0</v>
      </c>
      <c r="AA13" s="24"/>
      <c r="AB13" s="26"/>
      <c r="AC13" s="25">
        <f t="shared" si="3"/>
        <v>0</v>
      </c>
      <c r="AO13" s="17"/>
      <c r="AP13" s="17"/>
    </row>
    <row r="14" spans="1:44" s="11" customFormat="1">
      <c r="A14" s="10" t="s">
        <v>54</v>
      </c>
      <c r="B14" s="11" t="s">
        <v>41</v>
      </c>
      <c r="C14" s="12">
        <v>319600</v>
      </c>
      <c r="D14" s="27">
        <v>42.3</v>
      </c>
      <c r="E14" s="30">
        <f t="shared" si="8"/>
        <v>2.9197080291970767E-2</v>
      </c>
      <c r="F14" s="28">
        <f t="shared" si="6"/>
        <v>5.127659574468086</v>
      </c>
      <c r="G14" s="15"/>
      <c r="H14" s="16">
        <v>0.9</v>
      </c>
      <c r="I14" s="17">
        <v>10.5</v>
      </c>
      <c r="J14" s="16"/>
      <c r="K14" s="16"/>
      <c r="L14" s="16">
        <v>32.5</v>
      </c>
      <c r="M14" s="16">
        <v>3.1</v>
      </c>
      <c r="N14" s="16"/>
      <c r="O14" s="18">
        <f t="shared" si="0"/>
        <v>47</v>
      </c>
      <c r="P14" s="17">
        <f t="shared" si="7"/>
        <v>1217.9000000000001</v>
      </c>
      <c r="Q14" s="17">
        <v>173.4</v>
      </c>
      <c r="R14" s="17"/>
      <c r="S14" s="20">
        <f t="shared" si="4"/>
        <v>220.4</v>
      </c>
      <c r="T14" s="21">
        <f t="shared" si="1"/>
        <v>0.2132486388384755</v>
      </c>
      <c r="U14" s="22"/>
      <c r="V14" s="23">
        <v>0</v>
      </c>
      <c r="W14" s="24"/>
      <c r="X14" s="25">
        <f t="shared" si="5"/>
        <v>0</v>
      </c>
      <c r="Y14" s="26">
        <v>0</v>
      </c>
      <c r="Z14" s="25">
        <f t="shared" si="2"/>
        <v>0</v>
      </c>
      <c r="AA14" s="24"/>
      <c r="AB14" s="26"/>
      <c r="AC14" s="25">
        <f t="shared" si="3"/>
        <v>0</v>
      </c>
      <c r="AO14" s="17"/>
      <c r="AP14" s="17"/>
    </row>
    <row r="15" spans="1:44" s="11" customFormat="1">
      <c r="A15" s="10" t="s">
        <v>55</v>
      </c>
      <c r="B15" s="11" t="s">
        <v>41</v>
      </c>
      <c r="C15" s="12">
        <v>329800</v>
      </c>
      <c r="D15" s="27">
        <v>43.4</v>
      </c>
      <c r="E15" s="30">
        <f t="shared" si="8"/>
        <v>2.6004728132387633E-2</v>
      </c>
      <c r="F15" s="28">
        <f t="shared" si="6"/>
        <v>4.9976958525345623</v>
      </c>
      <c r="G15" s="15"/>
      <c r="H15" s="16">
        <v>1.2</v>
      </c>
      <c r="I15" s="17">
        <v>11.4</v>
      </c>
      <c r="J15" s="16"/>
      <c r="K15" s="16"/>
      <c r="L15" s="16">
        <v>32.5</v>
      </c>
      <c r="M15" s="16">
        <v>3.3</v>
      </c>
      <c r="N15" s="16"/>
      <c r="O15" s="18">
        <f t="shared" si="0"/>
        <v>48.4</v>
      </c>
      <c r="P15" s="17">
        <f t="shared" si="7"/>
        <v>1266.3000000000002</v>
      </c>
      <c r="Q15" s="17">
        <v>170.8</v>
      </c>
      <c r="R15" s="17"/>
      <c r="S15" s="20">
        <f t="shared" si="4"/>
        <v>219.20000000000002</v>
      </c>
      <c r="T15" s="21">
        <f t="shared" si="1"/>
        <v>0.22080291970802918</v>
      </c>
      <c r="U15" s="22"/>
      <c r="V15" s="23">
        <v>0</v>
      </c>
      <c r="W15" s="24"/>
      <c r="X15" s="25">
        <f t="shared" si="5"/>
        <v>0</v>
      </c>
      <c r="Y15" s="26">
        <v>0</v>
      </c>
      <c r="Z15" s="25">
        <f t="shared" si="2"/>
        <v>0</v>
      </c>
      <c r="AA15" s="24"/>
      <c r="AB15" s="26"/>
      <c r="AC15" s="25">
        <f t="shared" si="3"/>
        <v>0</v>
      </c>
      <c r="AO15" s="17"/>
      <c r="AP15" s="17"/>
    </row>
    <row r="16" spans="1:44" s="11" customFormat="1">
      <c r="A16" s="10" t="s">
        <v>56</v>
      </c>
      <c r="B16" s="11" t="s">
        <v>41</v>
      </c>
      <c r="C16" s="12">
        <v>336400</v>
      </c>
      <c r="D16" s="27">
        <v>45.3</v>
      </c>
      <c r="E16" s="30">
        <f t="shared" si="8"/>
        <v>4.3778801843317838E-2</v>
      </c>
      <c r="F16" s="28">
        <f t="shared" si="6"/>
        <v>4.7880794701986762</v>
      </c>
      <c r="G16" s="15"/>
      <c r="H16" s="16">
        <v>0.9</v>
      </c>
      <c r="I16" s="17">
        <v>12</v>
      </c>
      <c r="J16" s="16"/>
      <c r="K16" s="16"/>
      <c r="L16" s="16">
        <v>30.2</v>
      </c>
      <c r="M16" s="16">
        <v>7.2</v>
      </c>
      <c r="N16" s="16"/>
      <c r="O16" s="18">
        <f t="shared" si="0"/>
        <v>50.300000000000004</v>
      </c>
      <c r="P16" s="17">
        <f t="shared" si="7"/>
        <v>1316.6000000000001</v>
      </c>
      <c r="Q16" s="17">
        <v>157.9</v>
      </c>
      <c r="R16" s="17"/>
      <c r="S16" s="20">
        <f t="shared" si="4"/>
        <v>208.20000000000002</v>
      </c>
      <c r="T16" s="21">
        <f t="shared" si="1"/>
        <v>0.24159462055715658</v>
      </c>
      <c r="U16" s="22"/>
      <c r="V16" s="23">
        <v>0</v>
      </c>
      <c r="W16" s="24"/>
      <c r="X16" s="25">
        <f t="shared" si="5"/>
        <v>0</v>
      </c>
      <c r="Y16" s="26">
        <v>0</v>
      </c>
      <c r="Z16" s="25">
        <f t="shared" si="2"/>
        <v>0</v>
      </c>
      <c r="AA16" s="24"/>
      <c r="AB16" s="26"/>
      <c r="AC16" s="25">
        <f t="shared" si="3"/>
        <v>0</v>
      </c>
      <c r="AO16" s="17"/>
      <c r="AP16" s="17"/>
    </row>
    <row r="17" spans="1:44" s="11" customFormat="1">
      <c r="A17" s="10" t="s">
        <v>57</v>
      </c>
      <c r="B17" s="11" t="s">
        <v>41</v>
      </c>
      <c r="C17" s="12">
        <v>348100</v>
      </c>
      <c r="D17" s="27">
        <v>50.2</v>
      </c>
      <c r="E17" s="30">
        <f t="shared" si="8"/>
        <v>0.10816777041942616</v>
      </c>
      <c r="F17" s="28">
        <f t="shared" si="6"/>
        <v>4.3207171314741037</v>
      </c>
      <c r="G17" s="15"/>
      <c r="H17" s="16">
        <v>1.2</v>
      </c>
      <c r="I17" s="17">
        <v>14.8</v>
      </c>
      <c r="J17" s="16"/>
      <c r="K17" s="16"/>
      <c r="L17" s="16">
        <v>35.799999999999997</v>
      </c>
      <c r="M17" s="16">
        <v>28.4</v>
      </c>
      <c r="N17" s="16"/>
      <c r="O17" s="18">
        <f t="shared" si="0"/>
        <v>80.199999999999989</v>
      </c>
      <c r="P17" s="17">
        <f t="shared" si="7"/>
        <v>1396.8000000000002</v>
      </c>
      <c r="Q17" s="17">
        <v>174.7</v>
      </c>
      <c r="R17" s="17"/>
      <c r="S17" s="20">
        <f t="shared" si="4"/>
        <v>254.89999999999998</v>
      </c>
      <c r="T17" s="21">
        <f t="shared" si="1"/>
        <v>0.31463318948607294</v>
      </c>
      <c r="U17" s="22"/>
      <c r="V17" s="23">
        <v>0</v>
      </c>
      <c r="W17" s="24"/>
      <c r="X17" s="25">
        <f t="shared" si="5"/>
        <v>0</v>
      </c>
      <c r="Y17" s="26">
        <v>0</v>
      </c>
      <c r="Z17" s="25">
        <f t="shared" si="2"/>
        <v>0</v>
      </c>
      <c r="AA17" s="24"/>
      <c r="AB17" s="26"/>
      <c r="AC17" s="25">
        <f t="shared" si="3"/>
        <v>0</v>
      </c>
      <c r="AO17" s="17"/>
      <c r="AP17" s="17"/>
    </row>
    <row r="18" spans="1:44" s="11" customFormat="1">
      <c r="A18" s="10" t="s">
        <v>58</v>
      </c>
      <c r="B18" s="11" t="s">
        <v>59</v>
      </c>
      <c r="C18" s="12">
        <v>384100</v>
      </c>
      <c r="D18" s="27">
        <v>57.1</v>
      </c>
      <c r="E18" s="30">
        <f t="shared" si="8"/>
        <v>0.13745019920318713</v>
      </c>
      <c r="F18" s="28">
        <f t="shared" si="6"/>
        <v>3.7985989492119088</v>
      </c>
      <c r="G18" s="15"/>
      <c r="H18" s="16">
        <v>2.5</v>
      </c>
      <c r="I18" s="17">
        <v>26.6</v>
      </c>
      <c r="J18" s="16">
        <v>6.6</v>
      </c>
      <c r="K18" s="16"/>
      <c r="L18" s="16">
        <v>49.8</v>
      </c>
      <c r="M18" s="16">
        <v>4.9000000000000004</v>
      </c>
      <c r="N18" s="16"/>
      <c r="O18" s="18">
        <f t="shared" si="0"/>
        <v>90.4</v>
      </c>
      <c r="P18" s="17">
        <f t="shared" si="7"/>
        <v>1487.2000000000003</v>
      </c>
      <c r="Q18" s="17">
        <v>243</v>
      </c>
      <c r="R18" s="17"/>
      <c r="S18" s="20">
        <f t="shared" si="4"/>
        <v>333.4</v>
      </c>
      <c r="T18" s="21">
        <f t="shared" si="1"/>
        <v>0.27114577084583086</v>
      </c>
      <c r="U18" s="22"/>
      <c r="V18" s="23">
        <v>472.54686900000002</v>
      </c>
      <c r="W18" s="26"/>
      <c r="X18" s="25">
        <f t="shared" si="5"/>
        <v>472.54686900000002</v>
      </c>
      <c r="Y18" s="26">
        <v>23.257359999999998</v>
      </c>
      <c r="Z18" s="25">
        <f t="shared" si="2"/>
        <v>495.80422900000002</v>
      </c>
      <c r="AA18" s="26"/>
      <c r="AB18" s="26"/>
      <c r="AC18" s="25">
        <f t="shared" si="3"/>
        <v>0</v>
      </c>
      <c r="AE18" s="17">
        <f>+V18*F18</f>
        <v>1795.0160400367777</v>
      </c>
      <c r="AF18" s="17">
        <f>+W18*F18</f>
        <v>0</v>
      </c>
      <c r="AG18" s="17">
        <f>+Y18*F18</f>
        <v>88.345383257443075</v>
      </c>
      <c r="AH18" s="17">
        <f>+S18*F18</f>
        <v>1266.4528896672502</v>
      </c>
      <c r="AJ18" s="31">
        <f>+V18/(C18/1000000)</f>
        <v>1230.2704217651653</v>
      </c>
      <c r="AK18" s="31">
        <f>+W18/(C18/1000000)</f>
        <v>0</v>
      </c>
      <c r="AL18" s="31">
        <f>+Y18/(C18/1000000)</f>
        <v>60.550273366310854</v>
      </c>
      <c r="AM18" s="31">
        <f>+S18/(C18/1000000)</f>
        <v>868.00312418640976</v>
      </c>
      <c r="AO18" s="17">
        <f>+AE18/(C18/1000000)</f>
        <v>4673.3039313636491</v>
      </c>
      <c r="AP18" s="17">
        <f>+AF18/(C18/1000000)</f>
        <v>0</v>
      </c>
      <c r="AQ18" s="17">
        <f>+AG18/(C18/1000000)</f>
        <v>230.00620478376223</v>
      </c>
      <c r="AR18" s="17">
        <f>+AH18/(C18/1000000)</f>
        <v>3297.1957554471496</v>
      </c>
    </row>
    <row r="19" spans="1:44" s="11" customFormat="1">
      <c r="A19" s="10" t="s">
        <v>60</v>
      </c>
      <c r="B19" s="11" t="s">
        <v>59</v>
      </c>
      <c r="C19" s="12">
        <v>409800</v>
      </c>
      <c r="D19" s="27">
        <v>61.5</v>
      </c>
      <c r="E19" s="30">
        <f t="shared" si="8"/>
        <v>7.7057793345008729E-2</v>
      </c>
      <c r="F19" s="28">
        <f t="shared" si="6"/>
        <v>3.526829268292683</v>
      </c>
      <c r="G19" s="15"/>
      <c r="H19" s="16">
        <v>4.9000000000000004</v>
      </c>
      <c r="I19" s="17">
        <v>28</v>
      </c>
      <c r="J19" s="16">
        <v>83.4</v>
      </c>
      <c r="K19" s="16">
        <v>223.1</v>
      </c>
      <c r="L19" s="16">
        <v>48.4</v>
      </c>
      <c r="M19" s="16">
        <v>3.7</v>
      </c>
      <c r="N19" s="16"/>
      <c r="O19" s="18">
        <f t="shared" si="0"/>
        <v>391.49999999999994</v>
      </c>
      <c r="P19" s="17">
        <f t="shared" si="7"/>
        <v>1878.7000000000003</v>
      </c>
      <c r="Q19" s="17">
        <v>318.3</v>
      </c>
      <c r="R19" s="17"/>
      <c r="S19" s="20">
        <f t="shared" si="4"/>
        <v>709.8</v>
      </c>
      <c r="T19" s="21">
        <f t="shared" si="1"/>
        <v>0.55156382079458999</v>
      </c>
      <c r="U19" s="22"/>
      <c r="V19" s="23">
        <v>590.10629899999958</v>
      </c>
      <c r="W19" s="26">
        <v>0</v>
      </c>
      <c r="X19" s="25">
        <f t="shared" si="5"/>
        <v>590.10629899999958</v>
      </c>
      <c r="Y19" s="26">
        <v>32.588147999999997</v>
      </c>
      <c r="Z19" s="25">
        <f t="shared" si="2"/>
        <v>622.69444699999963</v>
      </c>
      <c r="AA19" s="26">
        <v>0</v>
      </c>
      <c r="AB19" s="26"/>
      <c r="AC19" s="25">
        <f t="shared" si="3"/>
        <v>0</v>
      </c>
      <c r="AE19" s="17">
        <f>+V19*F19</f>
        <v>2081.2041667170715</v>
      </c>
      <c r="AF19" s="17">
        <f>+W19*F19</f>
        <v>0</v>
      </c>
      <c r="AG19" s="17">
        <f>+Y19*F19</f>
        <v>114.93283416585365</v>
      </c>
      <c r="AH19" s="17">
        <f t="shared" ref="AH19:AH60" si="9">+S19*F19</f>
        <v>2503.343414634146</v>
      </c>
      <c r="AJ19" s="31">
        <f>+V19/(C19/1000000)</f>
        <v>1439.9860883357726</v>
      </c>
      <c r="AK19" s="31">
        <f>+W19/(C19/1000000)</f>
        <v>0</v>
      </c>
      <c r="AL19" s="31">
        <f>+Y19/(C19/1000000)</f>
        <v>79.52207906295753</v>
      </c>
      <c r="AM19" s="31">
        <f t="shared" ref="AM19:AM60" si="10">+S19/(C19/1000000)</f>
        <v>1732.0644216691069</v>
      </c>
      <c r="AO19" s="17">
        <f>+AE19/(C19/1000000)</f>
        <v>5078.5850822768953</v>
      </c>
      <c r="AP19" s="17">
        <f>+AF19/(C19/1000000)</f>
        <v>0</v>
      </c>
      <c r="AQ19" s="17">
        <f>+AG19/(C19/1000000)</f>
        <v>280.46079591472341</v>
      </c>
      <c r="AR19" s="17">
        <f>+AH19/(C19/1000000)</f>
        <v>6108.6954969110448</v>
      </c>
    </row>
    <row r="20" spans="1:44" s="11" customFormat="1">
      <c r="A20" s="10" t="s">
        <v>61</v>
      </c>
      <c r="B20" s="11" t="s">
        <v>59</v>
      </c>
      <c r="C20" s="12">
        <v>418000</v>
      </c>
      <c r="D20" s="27">
        <v>65.599999999999994</v>
      </c>
      <c r="E20" s="30">
        <f t="shared" si="8"/>
        <v>6.6666666666666652E-2</v>
      </c>
      <c r="F20" s="28">
        <f t="shared" si="6"/>
        <v>3.3064024390243905</v>
      </c>
      <c r="G20" s="15"/>
      <c r="H20" s="16">
        <v>5</v>
      </c>
      <c r="I20" s="17">
        <v>23.8</v>
      </c>
      <c r="J20" s="16">
        <v>139.1</v>
      </c>
      <c r="K20" s="16">
        <v>270.60000000000002</v>
      </c>
      <c r="L20" s="16">
        <v>36.299999999999997</v>
      </c>
      <c r="M20" s="16">
        <v>2.8</v>
      </c>
      <c r="N20" s="16"/>
      <c r="O20" s="18">
        <f t="shared" si="0"/>
        <v>477.6</v>
      </c>
      <c r="P20" s="17">
        <f t="shared" si="7"/>
        <v>2356.3000000000002</v>
      </c>
      <c r="Q20" s="17">
        <v>396.7</v>
      </c>
      <c r="R20" s="17"/>
      <c r="S20" s="20">
        <f t="shared" si="4"/>
        <v>874.3</v>
      </c>
      <c r="T20" s="21">
        <f t="shared" si="1"/>
        <v>0.54626558389568802</v>
      </c>
      <c r="U20" s="22"/>
      <c r="V20" s="23">
        <v>699.01627700000006</v>
      </c>
      <c r="W20" s="26">
        <v>0</v>
      </c>
      <c r="X20" s="25">
        <f t="shared" si="5"/>
        <v>699.01627700000006</v>
      </c>
      <c r="Y20" s="26">
        <v>18.580452999999999</v>
      </c>
      <c r="Z20" s="25">
        <f t="shared" si="2"/>
        <v>717.59673000000009</v>
      </c>
      <c r="AA20" s="26">
        <v>2.5</v>
      </c>
      <c r="AB20" s="26"/>
      <c r="AC20" s="25">
        <f t="shared" si="3"/>
        <v>2.5</v>
      </c>
      <c r="AE20" s="17">
        <f>+V20*F20</f>
        <v>2311.2291231905492</v>
      </c>
      <c r="AF20" s="17">
        <f>+W20*F20</f>
        <v>0</v>
      </c>
      <c r="AG20" s="17">
        <f>+Y20*F20</f>
        <v>61.43445511737805</v>
      </c>
      <c r="AH20" s="17">
        <f t="shared" si="9"/>
        <v>2890.7876524390244</v>
      </c>
      <c r="AJ20" s="31">
        <f>+V20/(C20/1000000)</f>
        <v>1672.2877440191389</v>
      </c>
      <c r="AK20" s="31">
        <f>+W20/(C20/1000000)</f>
        <v>0</v>
      </c>
      <c r="AL20" s="31">
        <f>+Y20/(C20/1000000)</f>
        <v>44.450844497607655</v>
      </c>
      <c r="AM20" s="31">
        <f t="shared" si="10"/>
        <v>2091.6267942583731</v>
      </c>
      <c r="AO20" s="17">
        <f>+AE20/(C20/1000000)</f>
        <v>5529.256275575477</v>
      </c>
      <c r="AP20" s="17">
        <f>+AF20/(C20/1000000)</f>
        <v>0</v>
      </c>
      <c r="AQ20" s="17">
        <f>+AG20/(C20/1000000)</f>
        <v>146.97238066358386</v>
      </c>
      <c r="AR20" s="17">
        <f>+AH20/(C20/1000000)</f>
        <v>6915.759934064652</v>
      </c>
    </row>
    <row r="21" spans="1:44" s="11" customFormat="1">
      <c r="A21" s="10" t="s">
        <v>62</v>
      </c>
      <c r="B21" s="29" t="s">
        <v>59</v>
      </c>
      <c r="C21" s="12">
        <v>411600</v>
      </c>
      <c r="D21" s="27">
        <v>70.2</v>
      </c>
      <c r="E21" s="30">
        <f t="shared" si="8"/>
        <v>7.0121951219512368E-2</v>
      </c>
      <c r="F21" s="28">
        <f t="shared" si="6"/>
        <v>3.0897435897435899</v>
      </c>
      <c r="G21" s="15"/>
      <c r="H21" s="16">
        <v>8.4</v>
      </c>
      <c r="I21" s="17">
        <v>107.7</v>
      </c>
      <c r="J21" s="16">
        <v>173</v>
      </c>
      <c r="K21" s="16"/>
      <c r="L21" s="16">
        <v>150.6</v>
      </c>
      <c r="M21" s="16">
        <v>1.8</v>
      </c>
      <c r="N21" s="16"/>
      <c r="O21" s="18">
        <f t="shared" si="0"/>
        <v>441.50000000000006</v>
      </c>
      <c r="P21" s="17">
        <f t="shared" si="7"/>
        <v>2797.8</v>
      </c>
      <c r="Q21" s="17">
        <v>323.39999999999998</v>
      </c>
      <c r="R21" s="17"/>
      <c r="S21" s="20">
        <f t="shared" si="4"/>
        <v>764.90000000000009</v>
      </c>
      <c r="T21" s="21">
        <f t="shared" si="1"/>
        <v>0.57719963393907703</v>
      </c>
      <c r="U21" s="22"/>
      <c r="V21" s="23">
        <v>812.43148899999994</v>
      </c>
      <c r="W21" s="26">
        <v>0</v>
      </c>
      <c r="X21" s="25">
        <f t="shared" si="5"/>
        <v>812.43148899999994</v>
      </c>
      <c r="Y21" s="26">
        <v>29.751000000000001</v>
      </c>
      <c r="Z21" s="25">
        <f t="shared" si="2"/>
        <v>842.18248899999992</v>
      </c>
      <c r="AA21" s="26">
        <v>0</v>
      </c>
      <c r="AB21" s="26"/>
      <c r="AC21" s="25">
        <f t="shared" si="3"/>
        <v>0</v>
      </c>
      <c r="AE21" s="17">
        <f>+V21*F21</f>
        <v>2510.2049852435898</v>
      </c>
      <c r="AF21" s="17">
        <f>+W21*F21</f>
        <v>0</v>
      </c>
      <c r="AG21" s="17">
        <f>+Y21*F21</f>
        <v>91.92296153846155</v>
      </c>
      <c r="AH21" s="17">
        <f t="shared" si="9"/>
        <v>2363.3448717948722</v>
      </c>
      <c r="AJ21" s="31">
        <f>+V21/(C21/1000000)</f>
        <v>1973.8374368318753</v>
      </c>
      <c r="AK21" s="31">
        <f>+W21/(C21/1000000)</f>
        <v>0</v>
      </c>
      <c r="AL21" s="31">
        <f>+Y21/(C21/1000000)</f>
        <v>72.281341107871725</v>
      </c>
      <c r="AM21" s="31">
        <f t="shared" si="10"/>
        <v>1858.3576287657922</v>
      </c>
      <c r="AO21" s="17">
        <f>+AE21/(C21/1000000)</f>
        <v>6098.6515676472054</v>
      </c>
      <c r="AP21" s="17">
        <f>+AF21/(C21/1000000)</f>
        <v>0</v>
      </c>
      <c r="AQ21" s="17">
        <f>+AG21/(C21/1000000)</f>
        <v>223.33081034611649</v>
      </c>
      <c r="AR21" s="17">
        <f>+AH21/(C21/1000000)</f>
        <v>5741.848570930204</v>
      </c>
    </row>
    <row r="22" spans="1:44" s="11" customFormat="1">
      <c r="A22" s="10" t="s">
        <v>63</v>
      </c>
      <c r="B22" s="29" t="s">
        <v>59</v>
      </c>
      <c r="C22" s="12">
        <v>413700</v>
      </c>
      <c r="D22" s="27">
        <v>77.599999999999994</v>
      </c>
      <c r="E22" s="30">
        <f t="shared" si="8"/>
        <v>0.10541310541310533</v>
      </c>
      <c r="F22" s="28">
        <f t="shared" si="6"/>
        <v>2.7951030927835054</v>
      </c>
      <c r="G22" s="15"/>
      <c r="H22" s="16">
        <v>232.6</v>
      </c>
      <c r="I22" s="17">
        <v>173.8</v>
      </c>
      <c r="J22" s="16">
        <v>163.4</v>
      </c>
      <c r="K22" s="16"/>
      <c r="L22" s="16">
        <v>250.2</v>
      </c>
      <c r="M22" s="16">
        <v>1.6</v>
      </c>
      <c r="N22" s="16"/>
      <c r="O22" s="18">
        <f t="shared" si="0"/>
        <v>821.6</v>
      </c>
      <c r="P22" s="17">
        <f t="shared" si="7"/>
        <v>3619.4</v>
      </c>
      <c r="Q22" s="17">
        <v>311.39999999999998</v>
      </c>
      <c r="R22" s="17"/>
      <c r="S22" s="20">
        <f t="shared" si="4"/>
        <v>1133</v>
      </c>
      <c r="T22" s="21">
        <f t="shared" si="1"/>
        <v>0.72515445719329219</v>
      </c>
      <c r="U22" s="22"/>
      <c r="V22" s="23">
        <v>933.04989000000023</v>
      </c>
      <c r="W22" s="26">
        <v>0</v>
      </c>
      <c r="X22" s="25">
        <f t="shared" si="5"/>
        <v>933.04989000000023</v>
      </c>
      <c r="Y22" s="26">
        <v>146.35582299999999</v>
      </c>
      <c r="Z22" s="25">
        <f t="shared" si="2"/>
        <v>1079.4057130000001</v>
      </c>
      <c r="AA22" s="26">
        <v>7.5</v>
      </c>
      <c r="AB22" s="26"/>
      <c r="AC22" s="25">
        <f t="shared" si="3"/>
        <v>7.5</v>
      </c>
      <c r="AE22" s="17">
        <f>+V22*F22</f>
        <v>2607.97063326031</v>
      </c>
      <c r="AF22" s="17">
        <f>+W22*F22</f>
        <v>0</v>
      </c>
      <c r="AG22" s="17">
        <f>+Y22*F22</f>
        <v>409.07961351417526</v>
      </c>
      <c r="AH22" s="17">
        <f t="shared" si="9"/>
        <v>3166.8518041237116</v>
      </c>
      <c r="AJ22" s="31">
        <f>+V22/(C22/1000000)</f>
        <v>2255.3780275562008</v>
      </c>
      <c r="AK22" s="31">
        <f>+W22/(C22/1000000)</f>
        <v>0</v>
      </c>
      <c r="AL22" s="31">
        <f>+Y22/(C22/1000000)</f>
        <v>353.7728378051728</v>
      </c>
      <c r="AM22" s="31">
        <f t="shared" si="10"/>
        <v>2738.6995407299974</v>
      </c>
      <c r="AO22" s="17">
        <f>+AE22/(C22/1000000)</f>
        <v>6304.0141002182982</v>
      </c>
      <c r="AP22" s="17">
        <f>+AF22/(C22/1000000)</f>
        <v>0</v>
      </c>
      <c r="AQ22" s="17">
        <f>+AG22/(C22/1000000)</f>
        <v>988.83155309203585</v>
      </c>
      <c r="AR22" s="17">
        <f>+AH22/(C22/1000000)</f>
        <v>7654.9475564991817</v>
      </c>
    </row>
    <row r="23" spans="1:44" s="11" customFormat="1">
      <c r="A23" s="10" t="s">
        <v>64</v>
      </c>
      <c r="B23" s="29" t="s">
        <v>59</v>
      </c>
      <c r="C23" s="12">
        <v>419800</v>
      </c>
      <c r="D23" s="27">
        <v>85.5</v>
      </c>
      <c r="E23" s="30">
        <f t="shared" si="8"/>
        <v>0.10180412371134029</v>
      </c>
      <c r="F23" s="28">
        <f t="shared" si="6"/>
        <v>2.5368421052631578</v>
      </c>
      <c r="G23" s="15"/>
      <c r="H23" s="16">
        <v>547.5</v>
      </c>
      <c r="I23" s="17">
        <v>506.5</v>
      </c>
      <c r="J23" s="16">
        <v>168.9</v>
      </c>
      <c r="K23" s="16"/>
      <c r="L23" s="16">
        <v>689.4</v>
      </c>
      <c r="M23" s="16">
        <v>344.2</v>
      </c>
      <c r="N23" s="16"/>
      <c r="O23" s="18">
        <f t="shared" si="0"/>
        <v>2256.5</v>
      </c>
      <c r="P23" s="17">
        <f t="shared" si="7"/>
        <v>5875.9</v>
      </c>
      <c r="Q23" s="17">
        <v>244.7</v>
      </c>
      <c r="R23" s="17"/>
      <c r="S23" s="20">
        <f t="shared" si="4"/>
        <v>2501.1999999999998</v>
      </c>
      <c r="T23" s="21">
        <f t="shared" si="1"/>
        <v>0.90216695985926765</v>
      </c>
      <c r="U23" s="22"/>
      <c r="V23" s="23">
        <v>1117.6613000000002</v>
      </c>
      <c r="W23" s="26">
        <v>0</v>
      </c>
      <c r="X23" s="25">
        <f t="shared" si="5"/>
        <v>1117.6613000000002</v>
      </c>
      <c r="Y23" s="26">
        <v>623.4221</v>
      </c>
      <c r="Z23" s="25">
        <f t="shared" si="2"/>
        <v>1741.0834000000002</v>
      </c>
      <c r="AA23" s="26">
        <v>0</v>
      </c>
      <c r="AB23" s="26"/>
      <c r="AC23" s="25">
        <f t="shared" si="3"/>
        <v>0</v>
      </c>
      <c r="AE23" s="17">
        <f>+V23*F23</f>
        <v>2835.3302452631583</v>
      </c>
      <c r="AF23" s="17">
        <f>+W23*F23</f>
        <v>0</v>
      </c>
      <c r="AG23" s="17">
        <f>+Y23*F23</f>
        <v>1581.5234326315788</v>
      </c>
      <c r="AH23" s="17">
        <f t="shared" si="9"/>
        <v>6345.1494736842096</v>
      </c>
      <c r="AJ23" s="31">
        <f>+V23/(C23/1000000)</f>
        <v>2662.3661267270131</v>
      </c>
      <c r="AK23" s="31">
        <f>+W23/(C23/1000000)</f>
        <v>0</v>
      </c>
      <c r="AL23" s="31">
        <f>+Y23/(C23/1000000)</f>
        <v>1485.045497856122</v>
      </c>
      <c r="AM23" s="31">
        <f t="shared" si="10"/>
        <v>5958.0752739399713</v>
      </c>
      <c r="AO23" s="17">
        <f>+AE23/(C23/1000000)</f>
        <v>6754.002489907476</v>
      </c>
      <c r="AP23" s="17">
        <f>+AF23/(C23/1000000)</f>
        <v>0</v>
      </c>
      <c r="AQ23" s="17">
        <f>+AG23/(C23/1000000)</f>
        <v>3767.3259471928982</v>
      </c>
      <c r="AR23" s="17">
        <f>+AH23/(C23/1000000)</f>
        <v>15114.69622125824</v>
      </c>
    </row>
    <row r="24" spans="1:44" s="11" customFormat="1">
      <c r="A24" s="10" t="s">
        <v>65</v>
      </c>
      <c r="B24" s="29" t="s">
        <v>59</v>
      </c>
      <c r="C24" s="12">
        <v>434300</v>
      </c>
      <c r="D24" s="27">
        <v>92.4</v>
      </c>
      <c r="E24" s="30">
        <f t="shared" si="8"/>
        <v>8.0701754385964941E-2</v>
      </c>
      <c r="F24" s="28">
        <f t="shared" si="6"/>
        <v>2.3474025974025974</v>
      </c>
      <c r="G24" s="15"/>
      <c r="H24" s="16">
        <v>860.1</v>
      </c>
      <c r="I24" s="17">
        <v>1170.2</v>
      </c>
      <c r="J24" s="16">
        <v>143</v>
      </c>
      <c r="K24" s="16"/>
      <c r="L24" s="16">
        <v>1119.7</v>
      </c>
      <c r="M24" s="16">
        <v>11.3</v>
      </c>
      <c r="N24" s="16"/>
      <c r="O24" s="18">
        <f t="shared" si="0"/>
        <v>3304.3</v>
      </c>
      <c r="P24" s="17">
        <f t="shared" si="7"/>
        <v>9180.2000000000007</v>
      </c>
      <c r="Q24" s="17">
        <v>413.7</v>
      </c>
      <c r="R24" s="17"/>
      <c r="S24" s="20">
        <f t="shared" si="4"/>
        <v>3718</v>
      </c>
      <c r="T24" s="21">
        <f t="shared" si="1"/>
        <v>0.88873050026896183</v>
      </c>
      <c r="U24" s="22"/>
      <c r="V24" s="23">
        <v>1578.3376999999998</v>
      </c>
      <c r="W24" s="26">
        <v>64.3</v>
      </c>
      <c r="X24" s="25">
        <f>+V24+W24</f>
        <v>1642.6376999999998</v>
      </c>
      <c r="Y24" s="26">
        <v>435.55533099999997</v>
      </c>
      <c r="Z24" s="25">
        <f t="shared" si="2"/>
        <v>2078.1930309999998</v>
      </c>
      <c r="AA24" s="26">
        <f>696.335+6.8+900+87.2714+350</f>
        <v>2040.4064000000001</v>
      </c>
      <c r="AB24" s="26"/>
      <c r="AC24" s="25">
        <f t="shared" si="3"/>
        <v>2040.4064000000001</v>
      </c>
      <c r="AE24" s="17">
        <f>+V24*F24</f>
        <v>3704.9940165584412</v>
      </c>
      <c r="AF24" s="17">
        <f>+W24*F24</f>
        <v>150.93798701298701</v>
      </c>
      <c r="AG24" s="17">
        <f>+Y24*F24</f>
        <v>1022.4237153019479</v>
      </c>
      <c r="AH24" s="17">
        <f t="shared" si="9"/>
        <v>8727.6428571428569</v>
      </c>
      <c r="AJ24" s="31">
        <f>+V24/(C24/1000000)</f>
        <v>3634.210683859083</v>
      </c>
      <c r="AK24" s="31">
        <f>+W24/(C24/1000000)</f>
        <v>148.05434031775269</v>
      </c>
      <c r="AL24" s="31">
        <f>+Y24/(C24/1000000)</f>
        <v>1002.8904697213907</v>
      </c>
      <c r="AM24" s="31">
        <f t="shared" si="10"/>
        <v>8560.9026018880959</v>
      </c>
      <c r="AO24" s="17">
        <f>+AE24/(C24/1000000)</f>
        <v>8530.9555987990807</v>
      </c>
      <c r="AP24" s="17">
        <f>+AF24/(C24/1000000)</f>
        <v>347.54314301862075</v>
      </c>
      <c r="AQ24" s="17">
        <f>+AG24/(C24/1000000)</f>
        <v>2354.1876935343034</v>
      </c>
      <c r="AR24" s="17">
        <f>+AH24/(C24/1000000)</f>
        <v>20095.885003782769</v>
      </c>
    </row>
    <row r="25" spans="1:44" s="11" customFormat="1">
      <c r="A25" s="10" t="s">
        <v>66</v>
      </c>
      <c r="B25" s="29" t="s">
        <v>59</v>
      </c>
      <c r="C25" s="12">
        <v>464300</v>
      </c>
      <c r="D25" s="27">
        <v>97.4</v>
      </c>
      <c r="E25" s="30">
        <f t="shared" si="8"/>
        <v>5.4112554112554001E-2</v>
      </c>
      <c r="F25" s="28">
        <f t="shared" si="6"/>
        <v>2.2268993839835729</v>
      </c>
      <c r="G25" s="32">
        <f>33.42-2.5</f>
        <v>30.92</v>
      </c>
      <c r="H25" s="16">
        <v>668.9</v>
      </c>
      <c r="I25" s="17">
        <v>1581.7</v>
      </c>
      <c r="J25" s="16">
        <v>142.69999999999999</v>
      </c>
      <c r="K25" s="16"/>
      <c r="L25" s="16">
        <v>1174.4000000000001</v>
      </c>
      <c r="M25" s="16">
        <v>7.1</v>
      </c>
      <c r="N25" s="16"/>
      <c r="O25" s="18">
        <f>SUM(H25:N25)</f>
        <v>3574.7999999999997</v>
      </c>
      <c r="P25" s="17">
        <f t="shared" si="7"/>
        <v>12755</v>
      </c>
      <c r="Q25" s="17">
        <v>533.6</v>
      </c>
      <c r="R25" s="17"/>
      <c r="S25" s="20">
        <f t="shared" si="4"/>
        <v>4108.3999999999996</v>
      </c>
      <c r="T25" s="21">
        <f t="shared" si="1"/>
        <v>0.87011975464901181</v>
      </c>
      <c r="U25" s="22"/>
      <c r="V25" s="23">
        <v>1829.480325</v>
      </c>
      <c r="W25" s="26">
        <v>314.70440000000002</v>
      </c>
      <c r="X25" s="25">
        <f>+V25+W25</f>
        <v>2144.1847250000001</v>
      </c>
      <c r="Y25" s="26">
        <v>1065.4703999999999</v>
      </c>
      <c r="Z25" s="25">
        <f t="shared" si="2"/>
        <v>3209.6551250000002</v>
      </c>
      <c r="AA25" s="33">
        <f>415.8+1800+8.5+12.3514+10+40+150+10+0.689</f>
        <v>2447.3404</v>
      </c>
      <c r="AB25" s="26"/>
      <c r="AC25" s="25">
        <f t="shared" si="3"/>
        <v>2447.3404</v>
      </c>
      <c r="AE25" s="17">
        <f>+V25*F25</f>
        <v>4074.0686087525669</v>
      </c>
      <c r="AF25" s="17">
        <f>+W25*F25</f>
        <v>700.81503449692002</v>
      </c>
      <c r="AG25" s="17">
        <f>+Y25*F25</f>
        <v>2372.695377412731</v>
      </c>
      <c r="AH25" s="17">
        <f t="shared" si="9"/>
        <v>9148.9934291581103</v>
      </c>
      <c r="AJ25" s="31">
        <f>+V25/(C25/1000000)</f>
        <v>3940.2979216024123</v>
      </c>
      <c r="AK25" s="31">
        <f>+W25/(C25/1000000)</f>
        <v>677.80400603058376</v>
      </c>
      <c r="AL25" s="31">
        <f>+Y25/(C25/1000000)</f>
        <v>2294.7887141934093</v>
      </c>
      <c r="AM25" s="31">
        <f t="shared" si="10"/>
        <v>8848.5892741761782</v>
      </c>
      <c r="AO25" s="17">
        <f>+AE25/(C25/1000000)</f>
        <v>8774.6470143281658</v>
      </c>
      <c r="AP25" s="17">
        <f>+AF25/(C25/1000000)</f>
        <v>1509.4013234911049</v>
      </c>
      <c r="AQ25" s="17">
        <f>+AG25/(C25/1000000)</f>
        <v>5110.2635740097585</v>
      </c>
      <c r="AR25" s="17">
        <f>+AH25/(C25/1000000)</f>
        <v>19704.918003786584</v>
      </c>
    </row>
    <row r="26" spans="1:44" s="11" customFormat="1">
      <c r="A26" s="10" t="s">
        <v>67</v>
      </c>
      <c r="B26" s="29" t="s">
        <v>68</v>
      </c>
      <c r="C26" s="12">
        <v>499100</v>
      </c>
      <c r="D26" s="27">
        <v>99.2</v>
      </c>
      <c r="E26" s="30">
        <f t="shared" si="8"/>
        <v>1.848049281314168E-2</v>
      </c>
      <c r="F26" s="28">
        <f t="shared" si="6"/>
        <v>2.186491935483871</v>
      </c>
      <c r="G26" s="32">
        <f>32.11-2.5</f>
        <v>29.61</v>
      </c>
      <c r="H26" s="16">
        <v>236</v>
      </c>
      <c r="I26" s="17">
        <v>1493.7</v>
      </c>
      <c r="J26" s="16">
        <v>152.6</v>
      </c>
      <c r="K26" s="16"/>
      <c r="L26" s="16">
        <v>1105.5999999999999</v>
      </c>
      <c r="M26" s="16">
        <v>38.700000000000003</v>
      </c>
      <c r="N26" s="16"/>
      <c r="O26" s="18">
        <f>SUM(H26:N26)</f>
        <v>3026.5999999999995</v>
      </c>
      <c r="P26" s="17">
        <f t="shared" si="7"/>
        <v>15781.599999999999</v>
      </c>
      <c r="Q26" s="17">
        <v>604.40000000000055</v>
      </c>
      <c r="R26" s="17"/>
      <c r="S26" s="20">
        <f t="shared" si="4"/>
        <v>3631</v>
      </c>
      <c r="T26" s="21">
        <f t="shared" si="1"/>
        <v>0.83354447810520504</v>
      </c>
      <c r="U26" s="22"/>
      <c r="V26" s="23">
        <v>2070.3181170000003</v>
      </c>
      <c r="W26" s="26">
        <v>0</v>
      </c>
      <c r="X26" s="25">
        <f t="shared" si="5"/>
        <v>2070.3181170000003</v>
      </c>
      <c r="Y26" s="26">
        <v>729.21758199999999</v>
      </c>
      <c r="Z26" s="25">
        <f t="shared" si="2"/>
        <v>2799.535699</v>
      </c>
      <c r="AA26" s="33">
        <v>319.78609999999998</v>
      </c>
      <c r="AB26" s="26"/>
      <c r="AC26" s="25">
        <f t="shared" si="3"/>
        <v>319.78609999999998</v>
      </c>
      <c r="AE26" s="17">
        <f>+V26*F26</f>
        <v>4526.7338667066542</v>
      </c>
      <c r="AF26" s="17">
        <f>+W26*F26</f>
        <v>0</v>
      </c>
      <c r="AG26" s="17">
        <f>+Y26*F26</f>
        <v>1594.4283622560483</v>
      </c>
      <c r="AH26" s="17">
        <f t="shared" si="9"/>
        <v>7939.1522177419356</v>
      </c>
      <c r="AJ26" s="31">
        <f>+V26/(C26/1000000)</f>
        <v>4148.1028190743345</v>
      </c>
      <c r="AK26" s="31">
        <f>+W26/(C26/1000000)</f>
        <v>0</v>
      </c>
      <c r="AL26" s="31">
        <f>+Y26/(C26/1000000)</f>
        <v>1461.065081146063</v>
      </c>
      <c r="AM26" s="31">
        <f t="shared" si="10"/>
        <v>7275.095171308355</v>
      </c>
      <c r="AO26" s="17">
        <f>+AE26/(C26/1000000)</f>
        <v>9069.7933614639442</v>
      </c>
      <c r="AP26" s="17">
        <f>+AF26/(C26/1000000)</f>
        <v>0</v>
      </c>
      <c r="AQ26" s="17">
        <f>+AG26/(C26/1000000)</f>
        <v>3194.6070171429542</v>
      </c>
      <c r="AR26" s="17">
        <f>+AH26/(C26/1000000)</f>
        <v>15906.93692194337</v>
      </c>
    </row>
    <row r="27" spans="1:44" s="11" customFormat="1">
      <c r="A27" s="10" t="s">
        <v>69</v>
      </c>
      <c r="B27" s="29" t="s">
        <v>68</v>
      </c>
      <c r="C27" s="12">
        <v>524000</v>
      </c>
      <c r="D27" s="27">
        <v>103.3</v>
      </c>
      <c r="E27" s="30">
        <f t="shared" si="8"/>
        <v>4.1330645161290258E-2</v>
      </c>
      <c r="F27" s="28">
        <f t="shared" si="6"/>
        <v>2.0997095837366895</v>
      </c>
      <c r="G27" s="32">
        <f>30.5-2.5</f>
        <v>28</v>
      </c>
      <c r="H27" s="16">
        <v>265.10000000000002</v>
      </c>
      <c r="I27" s="17">
        <v>1393.1</v>
      </c>
      <c r="J27" s="16">
        <v>131</v>
      </c>
      <c r="K27" s="16"/>
      <c r="L27" s="16">
        <v>1058.5</v>
      </c>
      <c r="M27" s="16">
        <v>13.9</v>
      </c>
      <c r="N27" s="16"/>
      <c r="O27" s="18">
        <f t="shared" si="0"/>
        <v>2861.6</v>
      </c>
      <c r="P27" s="17">
        <f t="shared" si="7"/>
        <v>18643.199999999997</v>
      </c>
      <c r="Q27" s="17">
        <v>528.5</v>
      </c>
      <c r="R27" s="17"/>
      <c r="S27" s="20">
        <f t="shared" si="4"/>
        <v>3390.1</v>
      </c>
      <c r="T27" s="21">
        <f t="shared" si="1"/>
        <v>0.84410489366095398</v>
      </c>
      <c r="U27" s="22"/>
      <c r="V27" s="23">
        <v>2129.688619</v>
      </c>
      <c r="W27" s="26">
        <v>0</v>
      </c>
      <c r="X27" s="25">
        <f t="shared" si="5"/>
        <v>2129.688619</v>
      </c>
      <c r="Y27" s="26">
        <v>781.16083999999989</v>
      </c>
      <c r="Z27" s="25">
        <f t="shared" si="2"/>
        <v>2910.849459</v>
      </c>
      <c r="AA27" s="33">
        <v>181.53489999999999</v>
      </c>
      <c r="AB27" s="26"/>
      <c r="AC27" s="25">
        <f t="shared" si="3"/>
        <v>181.53489999999999</v>
      </c>
      <c r="AE27" s="17">
        <f>+V27*F27</f>
        <v>4471.7276036892554</v>
      </c>
      <c r="AF27" s="17">
        <f>+W27*F27</f>
        <v>0</v>
      </c>
      <c r="AG27" s="17">
        <f>+Y27*F27</f>
        <v>1640.2109021878025</v>
      </c>
      <c r="AH27" s="17">
        <f t="shared" si="9"/>
        <v>7118.2254598257505</v>
      </c>
      <c r="AJ27" s="31">
        <f>+V27/(C27/1000000)</f>
        <v>4064.2912576335875</v>
      </c>
      <c r="AK27" s="31">
        <f>+W27/(C27/1000000)</f>
        <v>0</v>
      </c>
      <c r="AL27" s="31">
        <f>+Y27/(C27/1000000)</f>
        <v>1490.7649618320609</v>
      </c>
      <c r="AM27" s="31">
        <f t="shared" si="10"/>
        <v>6469.6564885496182</v>
      </c>
      <c r="AO27" s="17">
        <f>+AE27/(C27/1000000)</f>
        <v>8533.8313047504871</v>
      </c>
      <c r="AP27" s="17">
        <f>+AF27/(C27/1000000)</f>
        <v>0</v>
      </c>
      <c r="AQ27" s="17">
        <f>+AG27/(C27/1000000)</f>
        <v>3130.1734774576385</v>
      </c>
      <c r="AR27" s="17">
        <f>+AH27/(C27/1000000)</f>
        <v>13584.399732491889</v>
      </c>
    </row>
    <row r="28" spans="1:44" s="11" customFormat="1">
      <c r="A28" s="10" t="s">
        <v>70</v>
      </c>
      <c r="B28" s="29" t="s">
        <v>68</v>
      </c>
      <c r="C28" s="12">
        <v>543900</v>
      </c>
      <c r="D28" s="27">
        <v>105.8</v>
      </c>
      <c r="E28" s="30">
        <f t="shared" si="8"/>
        <v>2.4201355275895509E-2</v>
      </c>
      <c r="F28" s="28">
        <f t="shared" si="6"/>
        <v>2.0500945179584122</v>
      </c>
      <c r="G28" s="32">
        <f>27.94-2.5</f>
        <v>25.44</v>
      </c>
      <c r="H28" s="16">
        <v>168.6</v>
      </c>
      <c r="I28" s="17">
        <v>1389.4</v>
      </c>
      <c r="J28" s="16">
        <v>128.4</v>
      </c>
      <c r="K28" s="16"/>
      <c r="L28" s="16">
        <v>1042.2</v>
      </c>
      <c r="M28" s="16">
        <v>14.9</v>
      </c>
      <c r="N28" s="16"/>
      <c r="O28" s="18">
        <f t="shared" si="0"/>
        <v>2743.5000000000005</v>
      </c>
      <c r="P28" s="17">
        <f t="shared" si="7"/>
        <v>21386.699999999997</v>
      </c>
      <c r="Q28" s="17">
        <v>516.5</v>
      </c>
      <c r="R28" s="17"/>
      <c r="S28" s="20">
        <f t="shared" si="4"/>
        <v>3260.0000000000005</v>
      </c>
      <c r="T28" s="21">
        <f t="shared" si="1"/>
        <v>0.84156441717791408</v>
      </c>
      <c r="U28" s="22"/>
      <c r="V28" s="23">
        <v>1996.409003</v>
      </c>
      <c r="W28" s="26">
        <v>264.52387399999998</v>
      </c>
      <c r="X28" s="25">
        <f t="shared" si="5"/>
        <v>2260.9328770000002</v>
      </c>
      <c r="Y28" s="26">
        <v>1257.4433369999999</v>
      </c>
      <c r="Z28" s="25">
        <f t="shared" si="2"/>
        <v>3518.3762139999999</v>
      </c>
      <c r="AA28" s="33">
        <f>210+145.625</f>
        <v>355.625</v>
      </c>
      <c r="AB28" s="26"/>
      <c r="AC28" s="25">
        <f t="shared" si="3"/>
        <v>355.625</v>
      </c>
      <c r="AE28" s="17">
        <f>+V28*F28</f>
        <v>4092.8271526531194</v>
      </c>
      <c r="AF28" s="17">
        <f>+W28*F28</f>
        <v>542.29894395652173</v>
      </c>
      <c r="AG28" s="17">
        <f>+Y28*F28</f>
        <v>2577.8776918270323</v>
      </c>
      <c r="AH28" s="17">
        <f t="shared" si="9"/>
        <v>6683.308128544425</v>
      </c>
      <c r="AJ28" s="31">
        <f>+V28/(C28/1000000)</f>
        <v>3670.5442232027945</v>
      </c>
      <c r="AK28" s="31">
        <f>+W28/(C28/1000000)</f>
        <v>486.34652325795173</v>
      </c>
      <c r="AL28" s="31">
        <f>+Y28/(C28/1000000)</f>
        <v>2311.9017043574181</v>
      </c>
      <c r="AM28" s="31">
        <f t="shared" si="10"/>
        <v>5993.7488508917086</v>
      </c>
      <c r="AO28" s="17">
        <f>+AE28/(C28/1000000)</f>
        <v>7524.9625899119674</v>
      </c>
      <c r="AP28" s="17">
        <f>+AF28/(C28/1000000)</f>
        <v>997.05634115926034</v>
      </c>
      <c r="AQ28" s="17">
        <f>+AG28/(C28/1000000)</f>
        <v>4739.6170101618536</v>
      </c>
      <c r="AR28" s="17">
        <f>+AH28/(C28/1000000)</f>
        <v>12287.751661232624</v>
      </c>
    </row>
    <row r="29" spans="1:44" s="11" customFormat="1">
      <c r="A29" s="10" t="s">
        <v>71</v>
      </c>
      <c r="B29" s="29" t="s">
        <v>68</v>
      </c>
      <c r="C29" s="12">
        <v>550700</v>
      </c>
      <c r="D29" s="27">
        <v>107.8</v>
      </c>
      <c r="E29" s="30">
        <f t="shared" si="8"/>
        <v>1.8903591682419618E-2</v>
      </c>
      <c r="F29" s="28">
        <f t="shared" si="6"/>
        <v>2.0120593692022264</v>
      </c>
      <c r="G29" s="32">
        <f>21.97-2.5</f>
        <v>19.47</v>
      </c>
      <c r="H29" s="16">
        <v>133.9</v>
      </c>
      <c r="I29" s="17">
        <v>1107.9000000000001</v>
      </c>
      <c r="J29" s="16">
        <v>113.5</v>
      </c>
      <c r="K29" s="16"/>
      <c r="L29" s="16">
        <v>845</v>
      </c>
      <c r="M29" s="16">
        <v>38.9</v>
      </c>
      <c r="N29" s="16">
        <v>418.2</v>
      </c>
      <c r="O29" s="18">
        <f t="shared" si="0"/>
        <v>2657.4</v>
      </c>
      <c r="P29" s="17">
        <f t="shared" si="7"/>
        <v>24044.1</v>
      </c>
      <c r="Q29" s="17">
        <v>418.1</v>
      </c>
      <c r="R29" s="17"/>
      <c r="S29" s="20">
        <f t="shared" si="4"/>
        <v>3075.5</v>
      </c>
      <c r="T29" s="21">
        <f t="shared" si="1"/>
        <v>0.86405462526418475</v>
      </c>
      <c r="U29" s="22"/>
      <c r="V29" s="23">
        <v>2005.1599000000001</v>
      </c>
      <c r="W29" s="26">
        <v>268.64916199999999</v>
      </c>
      <c r="X29" s="25">
        <f t="shared" si="5"/>
        <v>2273.8090620000003</v>
      </c>
      <c r="Y29" s="26">
        <v>432.96300000000002</v>
      </c>
      <c r="Z29" s="25">
        <f t="shared" si="2"/>
        <v>2706.7720620000005</v>
      </c>
      <c r="AA29" s="33">
        <v>77.566999999999993</v>
      </c>
      <c r="AB29" s="26"/>
      <c r="AC29" s="25">
        <f t="shared" si="3"/>
        <v>77.566999999999993</v>
      </c>
      <c r="AE29" s="17">
        <f>+V29*F29</f>
        <v>4034.5007635435995</v>
      </c>
      <c r="AF29" s="17">
        <f>+W29*F29</f>
        <v>540.53806343042675</v>
      </c>
      <c r="AG29" s="17">
        <f>+Y29*F29</f>
        <v>871.14726066790354</v>
      </c>
      <c r="AH29" s="17">
        <f t="shared" si="9"/>
        <v>6188.0885899814475</v>
      </c>
      <c r="AJ29" s="31">
        <f>+V29/(C29/1000000)</f>
        <v>3641.1111312874527</v>
      </c>
      <c r="AK29" s="31">
        <f>+W29/(C29/1000000)</f>
        <v>487.83214454330852</v>
      </c>
      <c r="AL29" s="31">
        <f>+Y29/(C29/1000000)</f>
        <v>786.20483021608868</v>
      </c>
      <c r="AM29" s="31">
        <f t="shared" si="10"/>
        <v>5584.7103686217542</v>
      </c>
      <c r="AO29" s="17">
        <f>+AE29/(C29/1000000)</f>
        <v>7326.1317660134373</v>
      </c>
      <c r="AP29" s="17">
        <f>+AF29/(C29/1000000)</f>
        <v>981.54723702637875</v>
      </c>
      <c r="AQ29" s="17">
        <f>+AG29/(C29/1000000)</f>
        <v>1581.8907947483269</v>
      </c>
      <c r="AR29" s="17">
        <f>+AH29/(C29/1000000)</f>
        <v>11236.768821466221</v>
      </c>
    </row>
    <row r="30" spans="1:44" s="11" customFormat="1">
      <c r="A30" s="10" t="s">
        <v>72</v>
      </c>
      <c r="B30" s="29" t="s">
        <v>73</v>
      </c>
      <c r="C30" s="12">
        <v>541300</v>
      </c>
      <c r="D30" s="27">
        <v>108.2</v>
      </c>
      <c r="E30" s="30">
        <f t="shared" si="8"/>
        <v>3.7105751391466324E-3</v>
      </c>
      <c r="F30" s="28">
        <f t="shared" si="6"/>
        <v>2.0046210720887245</v>
      </c>
      <c r="G30" s="15">
        <v>17.57</v>
      </c>
      <c r="H30" s="16">
        <v>120.4</v>
      </c>
      <c r="I30" s="17">
        <v>648.5</v>
      </c>
      <c r="J30" s="16">
        <v>102.5</v>
      </c>
      <c r="K30" s="16"/>
      <c r="L30" s="16">
        <v>448.3</v>
      </c>
      <c r="M30" s="16">
        <v>4.3</v>
      </c>
      <c r="N30" s="16">
        <v>70.5</v>
      </c>
      <c r="O30" s="18">
        <f t="shared" si="0"/>
        <v>1394.5</v>
      </c>
      <c r="P30" s="17">
        <f t="shared" si="7"/>
        <v>25438.6</v>
      </c>
      <c r="Q30" s="17">
        <v>404.9</v>
      </c>
      <c r="R30" s="17"/>
      <c r="S30" s="20">
        <f t="shared" si="4"/>
        <v>1799.4</v>
      </c>
      <c r="T30" s="21">
        <f t="shared" si="1"/>
        <v>0.77498054907191283</v>
      </c>
      <c r="U30" s="22"/>
      <c r="V30" s="23">
        <v>1890.8151</v>
      </c>
      <c r="W30" s="26">
        <v>299.21570000000003</v>
      </c>
      <c r="X30" s="25">
        <f t="shared" si="5"/>
        <v>2190.0308</v>
      </c>
      <c r="Y30" s="26">
        <v>336.74930000000001</v>
      </c>
      <c r="Z30" s="25">
        <f t="shared" si="2"/>
        <v>2526.7800999999999</v>
      </c>
      <c r="AA30" s="33">
        <v>61</v>
      </c>
      <c r="AB30" s="26"/>
      <c r="AC30" s="25">
        <f t="shared" si="3"/>
        <v>61</v>
      </c>
      <c r="AE30" s="17">
        <f>+V30*F30</f>
        <v>3790.3677928835491</v>
      </c>
      <c r="AF30" s="17">
        <f>+W30*F30</f>
        <v>599.81409731977817</v>
      </c>
      <c r="AG30" s="17">
        <f>+Y30*F30</f>
        <v>675.05474279112752</v>
      </c>
      <c r="AH30" s="17">
        <f t="shared" si="9"/>
        <v>3607.115157116451</v>
      </c>
      <c r="AJ30" s="31">
        <f>+V30/(C30/1000000)</f>
        <v>3493.1001293183076</v>
      </c>
      <c r="AK30" s="31">
        <f>+W30/(C30/1000000)</f>
        <v>552.77239977831152</v>
      </c>
      <c r="AL30" s="31">
        <f>+Y30/(C30/1000000)</f>
        <v>622.11213744688712</v>
      </c>
      <c r="AM30" s="31">
        <f t="shared" si="10"/>
        <v>3324.2194716423428</v>
      </c>
      <c r="AO30" s="17">
        <f>+AE30/(C30/1000000)</f>
        <v>7002.3421261473286</v>
      </c>
      <c r="AP30" s="17">
        <f>+AF30/(C30/1000000)</f>
        <v>1108.0992006646557</v>
      </c>
      <c r="AQ30" s="17">
        <f>+AG30/(C30/1000000)</f>
        <v>1247.0990999281869</v>
      </c>
      <c r="AR30" s="17">
        <f>+AH30/(C30/1000000)</f>
        <v>6663.8004011018857</v>
      </c>
    </row>
    <row r="31" spans="1:44" s="11" customFormat="1">
      <c r="A31" s="10" t="s">
        <v>74</v>
      </c>
      <c r="B31" s="29" t="s">
        <v>73</v>
      </c>
      <c r="C31" s="12">
        <v>535000</v>
      </c>
      <c r="D31" s="27">
        <v>108.6</v>
      </c>
      <c r="E31" s="30">
        <f t="shared" si="8"/>
        <v>3.696857670979492E-3</v>
      </c>
      <c r="F31" s="28">
        <f t="shared" si="6"/>
        <v>1.9972375690607735</v>
      </c>
      <c r="G31" s="15">
        <v>15.81</v>
      </c>
      <c r="H31" s="16">
        <v>158</v>
      </c>
      <c r="I31" s="17">
        <v>818.7</v>
      </c>
      <c r="J31" s="16">
        <v>96.2</v>
      </c>
      <c r="K31" s="16"/>
      <c r="L31" s="16">
        <v>701.5</v>
      </c>
      <c r="M31" s="16">
        <v>11.3</v>
      </c>
      <c r="N31" s="16">
        <v>163.9</v>
      </c>
      <c r="O31" s="18">
        <f t="shared" si="0"/>
        <v>1949.6000000000001</v>
      </c>
      <c r="P31" s="17">
        <f t="shared" si="7"/>
        <v>27388.199999999997</v>
      </c>
      <c r="Q31" s="17">
        <v>356.2</v>
      </c>
      <c r="R31" s="17"/>
      <c r="S31" s="20">
        <f t="shared" si="4"/>
        <v>2305.8000000000002</v>
      </c>
      <c r="T31" s="21">
        <f t="shared" si="1"/>
        <v>0.84551999306097669</v>
      </c>
      <c r="U31" s="22"/>
      <c r="V31" s="23">
        <v>1718.7608</v>
      </c>
      <c r="W31" s="26">
        <v>257.43830000000003</v>
      </c>
      <c r="X31" s="25">
        <f t="shared" si="5"/>
        <v>1976.1991</v>
      </c>
      <c r="Y31" s="26">
        <v>88.040800000000004</v>
      </c>
      <c r="Z31" s="25">
        <f t="shared" si="2"/>
        <v>2064.2399</v>
      </c>
      <c r="AA31" s="33">
        <f>250-250</f>
        <v>0</v>
      </c>
      <c r="AB31" s="26"/>
      <c r="AC31" s="25">
        <f t="shared" si="3"/>
        <v>0</v>
      </c>
      <c r="AE31" s="17">
        <f>+V31*F31</f>
        <v>3432.7736419889502</v>
      </c>
      <c r="AF31" s="17">
        <f>+W31*F31</f>
        <v>514.1654444751382</v>
      </c>
      <c r="AG31" s="17">
        <f>+Y31*F31</f>
        <v>175.83839337016576</v>
      </c>
      <c r="AH31" s="17">
        <f t="shared" si="9"/>
        <v>4605.2303867403316</v>
      </c>
      <c r="AJ31" s="31">
        <f>+V31/(C31/1000000)</f>
        <v>3212.637009345794</v>
      </c>
      <c r="AK31" s="31">
        <f>+W31/(C31/1000000)</f>
        <v>481.19308411214956</v>
      </c>
      <c r="AL31" s="31">
        <f>+Y31/(C31/1000000)</f>
        <v>164.5622429906542</v>
      </c>
      <c r="AM31" s="31">
        <f t="shared" si="10"/>
        <v>4309.9065420560746</v>
      </c>
      <c r="AO31" s="17">
        <f>+AE31/(C31/1000000)</f>
        <v>6416.3993308204672</v>
      </c>
      <c r="AP31" s="17">
        <f>+AF31/(C31/1000000)</f>
        <v>961.05690556100592</v>
      </c>
      <c r="AQ31" s="17">
        <f>+AG31/(C31/1000000)</f>
        <v>328.66989414984255</v>
      </c>
      <c r="AR31" s="17">
        <f>+AH31/(C31/1000000)</f>
        <v>8607.9072649351983</v>
      </c>
    </row>
    <row r="32" spans="1:44" s="11" customFormat="1">
      <c r="A32" s="10" t="s">
        <v>75</v>
      </c>
      <c r="B32" s="29" t="s">
        <v>73</v>
      </c>
      <c r="C32" s="12">
        <v>538900</v>
      </c>
      <c r="D32" s="27">
        <v>111.7</v>
      </c>
      <c r="E32" s="30">
        <f t="shared" si="8"/>
        <v>2.8545119705340793E-2</v>
      </c>
      <c r="F32" s="28">
        <f t="shared" si="6"/>
        <v>1.9418084153983886</v>
      </c>
      <c r="G32" s="32">
        <v>14.85</v>
      </c>
      <c r="H32" s="16">
        <v>166</v>
      </c>
      <c r="I32" s="17">
        <v>698.8</v>
      </c>
      <c r="J32" s="16">
        <v>89.7</v>
      </c>
      <c r="K32" s="16"/>
      <c r="L32" s="16">
        <v>611.5</v>
      </c>
      <c r="M32" s="16">
        <v>16.7</v>
      </c>
      <c r="N32" s="16">
        <v>257.7</v>
      </c>
      <c r="O32" s="18">
        <f t="shared" si="0"/>
        <v>1840.4</v>
      </c>
      <c r="P32" s="17">
        <f t="shared" si="7"/>
        <v>29228.6</v>
      </c>
      <c r="Q32" s="17">
        <v>345.8</v>
      </c>
      <c r="R32" s="17"/>
      <c r="S32" s="20">
        <f t="shared" si="4"/>
        <v>2186.2000000000003</v>
      </c>
      <c r="T32" s="21">
        <f t="shared" si="1"/>
        <v>0.84182599945110226</v>
      </c>
      <c r="U32" s="22"/>
      <c r="V32" s="23">
        <v>1959.2405999999999</v>
      </c>
      <c r="W32" s="26">
        <v>256.8338</v>
      </c>
      <c r="X32" s="25">
        <f t="shared" si="5"/>
        <v>2216.0744</v>
      </c>
      <c r="Y32" s="26">
        <v>173.46100000000001</v>
      </c>
      <c r="Z32" s="25">
        <f t="shared" si="2"/>
        <v>2389.5353999999998</v>
      </c>
      <c r="AA32" s="33">
        <f>16.721+34</f>
        <v>50.721000000000004</v>
      </c>
      <c r="AB32" s="26"/>
      <c r="AC32" s="25">
        <f t="shared" si="3"/>
        <v>50.721000000000004</v>
      </c>
      <c r="AE32" s="17">
        <f>+V32*F32</f>
        <v>3804.4698848701878</v>
      </c>
      <c r="AF32" s="17">
        <f>+W32*F32</f>
        <v>498.72203419874666</v>
      </c>
      <c r="AG32" s="17">
        <f>+Y32*F32</f>
        <v>336.82802954341992</v>
      </c>
      <c r="AH32" s="17">
        <f t="shared" si="9"/>
        <v>4245.1815577439575</v>
      </c>
      <c r="AJ32" s="31">
        <f>+V32/(C32/1000000)</f>
        <v>3635.6292447578394</v>
      </c>
      <c r="AK32" s="31">
        <f>+W32/(C32/1000000)</f>
        <v>476.58897754685466</v>
      </c>
      <c r="AL32" s="31">
        <f>+Y32/(C32/1000000)</f>
        <v>321.87975505659676</v>
      </c>
      <c r="AM32" s="31">
        <f t="shared" si="10"/>
        <v>4056.7823343848581</v>
      </c>
      <c r="AO32" s="17">
        <f>+AE32/(C32/1000000)</f>
        <v>7059.6954627392606</v>
      </c>
      <c r="AP32" s="17">
        <f>+AF32/(C32/1000000)</f>
        <v>925.44448728659609</v>
      </c>
      <c r="AQ32" s="17">
        <f>+AG32/(C32/1000000)</f>
        <v>625.02881711527164</v>
      </c>
      <c r="AR32" s="17">
        <f>+AH32/(C32/1000000)</f>
        <v>7877.4940763480372</v>
      </c>
    </row>
    <row r="33" spans="1:44" s="11" customFormat="1">
      <c r="A33" s="10" t="s">
        <v>76</v>
      </c>
      <c r="B33" s="29" t="s">
        <v>73</v>
      </c>
      <c r="C33" s="12">
        <v>553171</v>
      </c>
      <c r="D33" s="27">
        <v>118.6</v>
      </c>
      <c r="E33" s="30">
        <f t="shared" si="8"/>
        <v>6.1772605192479846E-2</v>
      </c>
      <c r="F33" s="28">
        <f t="shared" si="6"/>
        <v>1.8288364249578417</v>
      </c>
      <c r="G33" s="15">
        <v>16.91</v>
      </c>
      <c r="H33" s="16">
        <v>117.2</v>
      </c>
      <c r="I33" s="17">
        <v>1001.6</v>
      </c>
      <c r="J33" s="16">
        <v>89.8</v>
      </c>
      <c r="K33" s="16"/>
      <c r="L33" s="16">
        <v>753.7</v>
      </c>
      <c r="M33" s="16">
        <v>4.2</v>
      </c>
      <c r="N33" s="16">
        <v>154.80000000000001</v>
      </c>
      <c r="O33" s="18">
        <f t="shared" si="0"/>
        <v>2121.3000000000002</v>
      </c>
      <c r="P33" s="17">
        <f t="shared" si="7"/>
        <v>31349.899999999998</v>
      </c>
      <c r="Q33" s="17">
        <v>385.9</v>
      </c>
      <c r="R33" s="17"/>
      <c r="S33" s="20">
        <f t="shared" si="4"/>
        <v>2507.2000000000003</v>
      </c>
      <c r="T33" s="21">
        <f t="shared" si="1"/>
        <v>0.84608328015315892</v>
      </c>
      <c r="U33" s="22"/>
      <c r="V33" s="23">
        <v>2026.6767000000002</v>
      </c>
      <c r="W33" s="26">
        <v>240.3236</v>
      </c>
      <c r="X33" s="25">
        <f t="shared" si="5"/>
        <v>2267.0003000000002</v>
      </c>
      <c r="Y33" s="26">
        <v>180.19319999999999</v>
      </c>
      <c r="Z33" s="25">
        <f t="shared" si="2"/>
        <v>2447.1935000000003</v>
      </c>
      <c r="AA33" s="33">
        <f>10+34</f>
        <v>44</v>
      </c>
      <c r="AB33" s="26"/>
      <c r="AC33" s="25">
        <f t="shared" si="3"/>
        <v>44</v>
      </c>
      <c r="AE33" s="17">
        <f>+V33*F33</f>
        <v>3706.4601705733567</v>
      </c>
      <c r="AF33" s="17">
        <f>+W33*F33</f>
        <v>439.51255345699838</v>
      </c>
      <c r="AG33" s="17">
        <f>+Y33*F33</f>
        <v>329.54388768971336</v>
      </c>
      <c r="AH33" s="17">
        <f t="shared" si="9"/>
        <v>4585.2586846543009</v>
      </c>
      <c r="AJ33" s="31">
        <f>+V33/(C33/1000000)</f>
        <v>3663.7435801949132</v>
      </c>
      <c r="AK33" s="31">
        <f>+W33/(C33/1000000)</f>
        <v>434.44721433336167</v>
      </c>
      <c r="AL33" s="31">
        <f>+Y33/(C33/1000000)</f>
        <v>325.7459266664377</v>
      </c>
      <c r="AM33" s="31">
        <f t="shared" si="10"/>
        <v>4532.4140274887877</v>
      </c>
      <c r="AO33" s="17">
        <f>+AE33/(C33/1000000)</f>
        <v>6700.3877111659085</v>
      </c>
      <c r="AP33" s="17">
        <f>+AF33/(C33/1000000)</f>
        <v>794.53289029431835</v>
      </c>
      <c r="AQ33" s="17">
        <f>+AG33/(C33/1000000)</f>
        <v>595.7360159692272</v>
      </c>
      <c r="AR33" s="17">
        <f>+AH33/(C33/1000000)</f>
        <v>8289.0438664613666</v>
      </c>
    </row>
    <row r="34" spans="1:44" s="11" customFormat="1">
      <c r="A34" s="10" t="s">
        <v>77</v>
      </c>
      <c r="B34" s="29" t="s">
        <v>50</v>
      </c>
      <c r="C34" s="12">
        <v>569054</v>
      </c>
      <c r="D34" s="27">
        <v>124</v>
      </c>
      <c r="E34" s="30">
        <f t="shared" si="8"/>
        <v>4.5531197301855064E-2</v>
      </c>
      <c r="F34" s="28">
        <f t="shared" si="6"/>
        <v>1.7491935483870968</v>
      </c>
      <c r="G34" s="32">
        <v>21.83</v>
      </c>
      <c r="H34" s="16">
        <v>185.1</v>
      </c>
      <c r="I34" s="17">
        <v>1284.8</v>
      </c>
      <c r="J34" s="16">
        <v>85</v>
      </c>
      <c r="K34" s="16"/>
      <c r="L34" s="16">
        <v>958.7</v>
      </c>
      <c r="M34" s="16">
        <v>24.7</v>
      </c>
      <c r="N34" s="16">
        <v>33.5</v>
      </c>
      <c r="O34" s="18">
        <f t="shared" si="0"/>
        <v>2571.7999999999997</v>
      </c>
      <c r="P34" s="17">
        <f t="shared" si="7"/>
        <v>33921.699999999997</v>
      </c>
      <c r="Q34" s="17">
        <v>414.8</v>
      </c>
      <c r="R34" s="17"/>
      <c r="S34" s="20">
        <f t="shared" si="4"/>
        <v>2986.6</v>
      </c>
      <c r="T34" s="21">
        <f t="shared" si="1"/>
        <v>0.86111297127168007</v>
      </c>
      <c r="U34" s="22"/>
      <c r="V34" s="23">
        <v>2162.8074999999999</v>
      </c>
      <c r="W34" s="26">
        <f>224.3526+1.5</f>
        <v>225.8526</v>
      </c>
      <c r="X34" s="25">
        <f t="shared" si="5"/>
        <v>2388.6601000000001</v>
      </c>
      <c r="Y34" s="26">
        <v>147.31720000000001</v>
      </c>
      <c r="Z34" s="25">
        <f t="shared" si="2"/>
        <v>2535.9773</v>
      </c>
      <c r="AA34" s="33">
        <f>13.6971+32+30+696.257</f>
        <v>771.95409999999993</v>
      </c>
      <c r="AB34" s="26"/>
      <c r="AC34" s="25">
        <f t="shared" si="3"/>
        <v>771.95409999999993</v>
      </c>
      <c r="AE34" s="17">
        <f>+V34*F34</f>
        <v>3783.1689254032258</v>
      </c>
      <c r="AF34" s="17">
        <f>+W34*F34</f>
        <v>395.05991080645163</v>
      </c>
      <c r="AG34" s="17">
        <f>+Y34*F34</f>
        <v>257.68629580645165</v>
      </c>
      <c r="AH34" s="17">
        <f t="shared" si="9"/>
        <v>5224.1414516129034</v>
      </c>
      <c r="AJ34" s="31">
        <f>+V34/(C34/1000000)</f>
        <v>3800.7069627838482</v>
      </c>
      <c r="AK34" s="31">
        <f>+W34/(C34/1000000)</f>
        <v>396.89133192983445</v>
      </c>
      <c r="AL34" s="31">
        <f>+Y34/(C34/1000000)</f>
        <v>258.88087949474044</v>
      </c>
      <c r="AM34" s="31">
        <f t="shared" si="10"/>
        <v>5248.3595581438667</v>
      </c>
      <c r="AO34" s="17">
        <f>+AE34/(C34/1000000)</f>
        <v>6648.1720986114251</v>
      </c>
      <c r="AP34" s="17">
        <f>+AF34/(C34/1000000)</f>
        <v>694.23975722242824</v>
      </c>
      <c r="AQ34" s="17">
        <f>+AG34/(C34/1000000)</f>
        <v>452.83276421297745</v>
      </c>
      <c r="AR34" s="17">
        <f>+AH34/(C34/1000000)</f>
        <v>9180.3966787210065</v>
      </c>
    </row>
    <row r="35" spans="1:44" s="11" customFormat="1">
      <c r="A35" s="10" t="s">
        <v>78</v>
      </c>
      <c r="B35" s="29" t="s">
        <v>50</v>
      </c>
      <c r="C35" s="12">
        <v>586722</v>
      </c>
      <c r="D35" s="27">
        <v>128.19999999999999</v>
      </c>
      <c r="E35" s="30">
        <f t="shared" si="8"/>
        <v>3.3870967741935321E-2</v>
      </c>
      <c r="F35" s="28">
        <f t="shared" si="6"/>
        <v>1.6918876755070205</v>
      </c>
      <c r="G35" s="15">
        <v>16.96</v>
      </c>
      <c r="H35" s="16">
        <v>165.5</v>
      </c>
      <c r="I35" s="17">
        <v>1053.2</v>
      </c>
      <c r="J35" s="16">
        <v>69</v>
      </c>
      <c r="K35" s="16"/>
      <c r="L35" s="16">
        <v>708.2</v>
      </c>
      <c r="M35" s="16">
        <v>6.8</v>
      </c>
      <c r="N35" s="16">
        <v>4.7</v>
      </c>
      <c r="O35" s="18">
        <f t="shared" si="0"/>
        <v>2007.4</v>
      </c>
      <c r="P35" s="17">
        <f t="shared" si="7"/>
        <v>35929.1</v>
      </c>
      <c r="Q35" s="17">
        <v>455.2</v>
      </c>
      <c r="R35" s="17"/>
      <c r="S35" s="20">
        <f t="shared" si="4"/>
        <v>2462.6</v>
      </c>
      <c r="T35" s="21">
        <f t="shared" si="1"/>
        <v>0.81515471452935928</v>
      </c>
      <c r="U35" s="22"/>
      <c r="V35" s="23">
        <v>2198.4295999999999</v>
      </c>
      <c r="W35" s="26">
        <v>209.16659999999999</v>
      </c>
      <c r="X35" s="25">
        <f>+V35+W35</f>
        <v>2407.5962</v>
      </c>
      <c r="Y35" s="26">
        <v>354.60809999999998</v>
      </c>
      <c r="Z35" s="25">
        <f t="shared" si="2"/>
        <v>2762.2042999999999</v>
      </c>
      <c r="AA35" s="33">
        <f>11.65+45+28.5</f>
        <v>85.15</v>
      </c>
      <c r="AB35" s="26">
        <v>-360.55700000000002</v>
      </c>
      <c r="AC35" s="25">
        <f>+AA35+AB35</f>
        <v>-275.40700000000004</v>
      </c>
      <c r="AE35" s="17">
        <f>+V35*F35</f>
        <v>3719.4959457098289</v>
      </c>
      <c r="AF35" s="17">
        <f>+W35*F35</f>
        <v>353.88639266770673</v>
      </c>
      <c r="AG35" s="17">
        <f>+Y35*F35</f>
        <v>599.957074024961</v>
      </c>
      <c r="AH35" s="17">
        <f t="shared" si="9"/>
        <v>4166.4425897035881</v>
      </c>
      <c r="AJ35" s="31">
        <f>+V35/(C35/1000000)</f>
        <v>3746.969774441729</v>
      </c>
      <c r="AK35" s="31">
        <f>+W35/(C35/1000000)</f>
        <v>356.50035280763291</v>
      </c>
      <c r="AL35" s="31">
        <f>+Y35/(C35/1000000)</f>
        <v>604.38862016423445</v>
      </c>
      <c r="AM35" s="31">
        <f t="shared" si="10"/>
        <v>4197.2177624155902</v>
      </c>
      <c r="AO35" s="17">
        <f>+AE35/(C35/1000000)</f>
        <v>6339.4519818752815</v>
      </c>
      <c r="AP35" s="17">
        <f>+AF35/(C35/1000000)</f>
        <v>603.15855322913876</v>
      </c>
      <c r="AQ35" s="17">
        <f>+AG35/(C35/1000000)</f>
        <v>1022.5576576725622</v>
      </c>
      <c r="AR35" s="17">
        <f>+AH35/(C35/1000000)</f>
        <v>7101.2210036500901</v>
      </c>
    </row>
    <row r="36" spans="1:44" s="11" customFormat="1">
      <c r="A36" s="10" t="s">
        <v>79</v>
      </c>
      <c r="B36" s="29" t="s">
        <v>50</v>
      </c>
      <c r="C36" s="12">
        <v>596906</v>
      </c>
      <c r="D36" s="27">
        <v>132.19999999999999</v>
      </c>
      <c r="E36" s="30">
        <f t="shared" si="8"/>
        <v>3.120124804992197E-2</v>
      </c>
      <c r="F36" s="28">
        <f t="shared" si="6"/>
        <v>1.6406959152798792</v>
      </c>
      <c r="G36" s="32">
        <v>17.48</v>
      </c>
      <c r="H36" s="17">
        <v>117.6</v>
      </c>
      <c r="I36" s="17">
        <v>1017.6</v>
      </c>
      <c r="J36" s="17">
        <v>66.900000000000006</v>
      </c>
      <c r="K36" s="17"/>
      <c r="L36" s="17">
        <v>716.7</v>
      </c>
      <c r="M36" s="16">
        <v>44.3</v>
      </c>
      <c r="N36" s="16">
        <v>4.7</v>
      </c>
      <c r="O36" s="18">
        <f t="shared" si="0"/>
        <v>1967.8000000000002</v>
      </c>
      <c r="P36" s="17">
        <f t="shared" si="7"/>
        <v>37896.9</v>
      </c>
      <c r="Q36" s="17">
        <v>384.2</v>
      </c>
      <c r="R36" s="17"/>
      <c r="S36" s="20">
        <f t="shared" si="4"/>
        <v>2352</v>
      </c>
      <c r="T36" s="21">
        <f t="shared" si="1"/>
        <v>0.83664965986394568</v>
      </c>
      <c r="U36" s="22"/>
      <c r="V36" s="23">
        <v>2211.7064999999998</v>
      </c>
      <c r="W36" s="26">
        <v>198.6216</v>
      </c>
      <c r="X36" s="25">
        <f t="shared" si="5"/>
        <v>2410.3280999999997</v>
      </c>
      <c r="Y36" s="26">
        <v>300.55340000000001</v>
      </c>
      <c r="Z36" s="25">
        <f t="shared" si="2"/>
        <v>2710.8814999999995</v>
      </c>
      <c r="AA36" s="33">
        <f>7.646+27</f>
        <v>34.646000000000001</v>
      </c>
      <c r="AB36" s="26">
        <v>0</v>
      </c>
      <c r="AC36" s="25">
        <f t="shared" ref="AC36:AC57" si="11">+AA36+AB36</f>
        <v>34.646000000000001</v>
      </c>
      <c r="AE36" s="17">
        <f>+V36*F36</f>
        <v>3628.7378203479579</v>
      </c>
      <c r="AF36" s="17">
        <f>+W36*F36</f>
        <v>325.87764780635405</v>
      </c>
      <c r="AG36" s="17">
        <f>+Y36*F36</f>
        <v>493.11673570347966</v>
      </c>
      <c r="AH36" s="17">
        <f t="shared" si="9"/>
        <v>3858.9167927382759</v>
      </c>
      <c r="AJ36" s="31">
        <f>+V36/(C36/1000000)</f>
        <v>3705.2844166418158</v>
      </c>
      <c r="AK36" s="31">
        <f>+W36/(C36/1000000)</f>
        <v>332.75189058243672</v>
      </c>
      <c r="AL36" s="31">
        <f>+Y36/(C36/1000000)</f>
        <v>503.51881200725069</v>
      </c>
      <c r="AM36" s="31">
        <f t="shared" si="10"/>
        <v>3940.3189111853453</v>
      </c>
      <c r="AO36" s="17">
        <f>+AE36/(C36/1000000)</f>
        <v>6079.2450073344171</v>
      </c>
      <c r="AP36" s="17">
        <f>+AF36/(C36/1000000)</f>
        <v>545.9446676802612</v>
      </c>
      <c r="AQ36" s="17">
        <f>+AG36/(C36/1000000)</f>
        <v>826.12125812687361</v>
      </c>
      <c r="AR36" s="17">
        <f>+AH36/(C36/1000000)</f>
        <v>6464.8651424818572</v>
      </c>
    </row>
    <row r="37" spans="1:44" s="11" customFormat="1">
      <c r="A37" s="10" t="s">
        <v>80</v>
      </c>
      <c r="B37" s="29" t="s">
        <v>50</v>
      </c>
      <c r="C37" s="12">
        <v>600622</v>
      </c>
      <c r="D37" s="27">
        <v>135</v>
      </c>
      <c r="E37" s="30">
        <f t="shared" si="8"/>
        <v>2.1180030257186067E-2</v>
      </c>
      <c r="F37" s="28">
        <f>+$D$58/D37</f>
        <v>1.6066666666666667</v>
      </c>
      <c r="G37" s="15">
        <v>14.08</v>
      </c>
      <c r="H37" s="17">
        <v>17.8</v>
      </c>
      <c r="I37" s="17">
        <v>692.1</v>
      </c>
      <c r="J37" s="17">
        <v>61.5</v>
      </c>
      <c r="K37" s="17"/>
      <c r="L37" s="17">
        <v>516.1</v>
      </c>
      <c r="M37" s="16">
        <v>5.0999999999999996</v>
      </c>
      <c r="N37" s="16">
        <v>0.1</v>
      </c>
      <c r="O37" s="18">
        <f t="shared" si="0"/>
        <v>1292.6999999999998</v>
      </c>
      <c r="P37" s="17">
        <f t="shared" si="7"/>
        <v>39189.599999999999</v>
      </c>
      <c r="Q37" s="17">
        <v>359.8</v>
      </c>
      <c r="R37" s="17"/>
      <c r="S37" s="20">
        <f t="shared" si="4"/>
        <v>1652.4999999999998</v>
      </c>
      <c r="T37" s="21">
        <f t="shared" si="1"/>
        <v>0.78226928895612713</v>
      </c>
      <c r="U37" s="22"/>
      <c r="V37" s="23">
        <v>2275.7070000000003</v>
      </c>
      <c r="W37" s="26">
        <v>144.94900000000001</v>
      </c>
      <c r="X37" s="25">
        <f t="shared" si="5"/>
        <v>2420.6560000000004</v>
      </c>
      <c r="Y37" s="26">
        <v>639.44840000000011</v>
      </c>
      <c r="Z37" s="25">
        <f t="shared" si="2"/>
        <v>3060.1044000000006</v>
      </c>
      <c r="AA37" s="33">
        <f>60.0682+66.9+13.2+26.7</f>
        <v>166.86819999999997</v>
      </c>
      <c r="AB37" s="26">
        <v>-368.58199000000002</v>
      </c>
      <c r="AC37" s="25">
        <f t="shared" si="11"/>
        <v>-201.71379000000005</v>
      </c>
      <c r="AE37" s="17">
        <f>+V37*F37</f>
        <v>3656.3025800000005</v>
      </c>
      <c r="AF37" s="17">
        <f>+W37*F37</f>
        <v>232.88472666666669</v>
      </c>
      <c r="AG37" s="17">
        <f>+Y37*F37</f>
        <v>1027.3804293333335</v>
      </c>
      <c r="AH37" s="17">
        <f t="shared" si="9"/>
        <v>2655.0166666666664</v>
      </c>
      <c r="AJ37" s="31">
        <f>+V37/(C37/1000000)</f>
        <v>3788.9171558817366</v>
      </c>
      <c r="AK37" s="31">
        <f>+W37/(C37/1000000)</f>
        <v>241.33148635914105</v>
      </c>
      <c r="AL37" s="31">
        <f>+Y37/(C37/1000000)</f>
        <v>1064.6436527466528</v>
      </c>
      <c r="AM37" s="31">
        <f t="shared" si="10"/>
        <v>2751.3144706654098</v>
      </c>
      <c r="AO37" s="17">
        <f>+AE37/(C37/1000000)</f>
        <v>6087.526897116657</v>
      </c>
      <c r="AP37" s="17">
        <f>+AF37/(C37/1000000)</f>
        <v>387.73925475035333</v>
      </c>
      <c r="AQ37" s="17">
        <f>+AG37/(C37/1000000)</f>
        <v>1710.5274687462888</v>
      </c>
      <c r="AR37" s="17">
        <f>+AH37/(C37/1000000)</f>
        <v>4420.4452495357591</v>
      </c>
    </row>
    <row r="38" spans="1:44" s="11" customFormat="1">
      <c r="A38" s="10" t="s">
        <v>81</v>
      </c>
      <c r="B38" s="11" t="s">
        <v>82</v>
      </c>
      <c r="C38" s="12">
        <v>601581</v>
      </c>
      <c r="D38" s="27">
        <v>138.9</v>
      </c>
      <c r="E38" s="30">
        <f t="shared" si="8"/>
        <v>2.8888888888888964E-2</v>
      </c>
      <c r="F38" s="28">
        <f t="shared" ref="F38:F57" si="12">+$D$58/D38</f>
        <v>1.5615550755939525</v>
      </c>
      <c r="G38" s="32">
        <v>16.850000000000001</v>
      </c>
      <c r="H38" s="17">
        <v>128.5</v>
      </c>
      <c r="I38" s="17">
        <v>793.9</v>
      </c>
      <c r="J38" s="17">
        <v>57.3</v>
      </c>
      <c r="K38" s="17"/>
      <c r="L38" s="17">
        <v>631.79999999999995</v>
      </c>
      <c r="M38" s="16">
        <v>5</v>
      </c>
      <c r="N38" s="16">
        <v>0.7</v>
      </c>
      <c r="O38" s="18">
        <f t="shared" si="0"/>
        <v>1617.2</v>
      </c>
      <c r="P38" s="17">
        <f t="shared" si="7"/>
        <v>40806.799999999996</v>
      </c>
      <c r="Q38" s="17">
        <v>465.7</v>
      </c>
      <c r="R38" s="17"/>
      <c r="S38" s="20">
        <f>+O38+Q38</f>
        <v>2082.9</v>
      </c>
      <c r="T38" s="21">
        <f t="shared" si="1"/>
        <v>0.77641749483892653</v>
      </c>
      <c r="U38" s="22"/>
      <c r="V38" s="23">
        <v>2244.2530000000002</v>
      </c>
      <c r="W38" s="26">
        <v>133.0669</v>
      </c>
      <c r="X38" s="25">
        <f t="shared" si="5"/>
        <v>2377.3199</v>
      </c>
      <c r="Y38" s="26">
        <v>103.19589999999999</v>
      </c>
      <c r="Z38" s="25">
        <f t="shared" si="2"/>
        <v>2480.5158000000001</v>
      </c>
      <c r="AA38" s="33">
        <f>200+25.9</f>
        <v>225.9</v>
      </c>
      <c r="AB38" s="26">
        <v>-22.417985999999999</v>
      </c>
      <c r="AC38" s="25">
        <f t="shared" si="11"/>
        <v>203.48201399999999</v>
      </c>
      <c r="AE38" s="17">
        <f>+V38*F38</f>
        <v>3504.5246630669549</v>
      </c>
      <c r="AF38" s="17">
        <f>+W38*F38</f>
        <v>207.79129308855292</v>
      </c>
      <c r="AG38" s="17">
        <f>+Y38*F38</f>
        <v>161.14608142548596</v>
      </c>
      <c r="AH38" s="17">
        <f t="shared" si="9"/>
        <v>3252.5630669546435</v>
      </c>
      <c r="AJ38" s="31">
        <f>+V38/(C38/1000000)</f>
        <v>3730.5915579115699</v>
      </c>
      <c r="AK38" s="31">
        <f>+W38/(C38/1000000)</f>
        <v>221.19531700635491</v>
      </c>
      <c r="AL38" s="31">
        <f>+Y38/(C38/1000000)</f>
        <v>171.54115572134091</v>
      </c>
      <c r="AM38" s="31">
        <f t="shared" si="10"/>
        <v>3462.3766375600294</v>
      </c>
      <c r="AO38" s="17">
        <f>+AE38/(C38/1000000)</f>
        <v>5825.5241822247626</v>
      </c>
      <c r="AP38" s="17">
        <f>+AF38/(C38/1000000)</f>
        <v>345.40866996888684</v>
      </c>
      <c r="AQ38" s="17">
        <f>+AG38/(C38/1000000)</f>
        <v>267.87096238991251</v>
      </c>
      <c r="AR38" s="17">
        <f>+AH38/(C38/1000000)</f>
        <v>5406.6918119997863</v>
      </c>
    </row>
    <row r="39" spans="1:44" s="11" customFormat="1">
      <c r="A39" s="10" t="s">
        <v>83</v>
      </c>
      <c r="B39" s="11" t="s">
        <v>82</v>
      </c>
      <c r="C39" s="12">
        <v>605212</v>
      </c>
      <c r="D39" s="27">
        <v>142.69999999999999</v>
      </c>
      <c r="E39" s="30">
        <f t="shared" si="8"/>
        <v>2.7357811375089858E-2</v>
      </c>
      <c r="F39" s="28">
        <f t="shared" si="12"/>
        <v>1.5199719691660829</v>
      </c>
      <c r="G39" s="15">
        <v>17.87</v>
      </c>
      <c r="H39" s="17">
        <v>173.7</v>
      </c>
      <c r="I39" s="17">
        <v>787.2</v>
      </c>
      <c r="J39" s="17">
        <v>56</v>
      </c>
      <c r="K39" s="17"/>
      <c r="L39" s="17">
        <v>642.20000000000005</v>
      </c>
      <c r="M39" s="16">
        <v>5.7</v>
      </c>
      <c r="N39" s="16"/>
      <c r="O39" s="18">
        <f t="shared" si="0"/>
        <v>1664.8000000000002</v>
      </c>
      <c r="P39" s="17">
        <f t="shared" si="7"/>
        <v>42471.6</v>
      </c>
      <c r="Q39" s="17">
        <v>468.5</v>
      </c>
      <c r="R39" s="17"/>
      <c r="S39" s="20">
        <f t="shared" si="4"/>
        <v>2133.3000000000002</v>
      </c>
      <c r="T39" s="21">
        <f t="shared" si="1"/>
        <v>0.78038719354989927</v>
      </c>
      <c r="U39" s="22"/>
      <c r="V39" s="23">
        <v>2234.9231</v>
      </c>
      <c r="W39" s="26">
        <v>109.40260000000001</v>
      </c>
      <c r="X39" s="25">
        <f t="shared" si="5"/>
        <v>2344.3256999999999</v>
      </c>
      <c r="Y39" s="26">
        <v>116.61499999999999</v>
      </c>
      <c r="Z39" s="25">
        <f t="shared" si="2"/>
        <v>2460.9406999999997</v>
      </c>
      <c r="AA39" s="33">
        <f>1.5163+17.0621</f>
        <v>18.578400000000002</v>
      </c>
      <c r="AB39" s="26">
        <v>-284.87356699999998</v>
      </c>
      <c r="AC39" s="25">
        <f t="shared" si="11"/>
        <v>-266.29516699999999</v>
      </c>
      <c r="AE39" s="17">
        <f>+V39*F39</f>
        <v>3397.0204652417665</v>
      </c>
      <c r="AF39" s="17">
        <f>+W39*F39</f>
        <v>166.2888853538893</v>
      </c>
      <c r="AG39" s="17">
        <f>+Y39*F39</f>
        <v>177.25153118430276</v>
      </c>
      <c r="AH39" s="17">
        <f t="shared" si="9"/>
        <v>3242.5562018220048</v>
      </c>
      <c r="AJ39" s="31">
        <f>+V39/(C39/1000000)</f>
        <v>3692.7937648295142</v>
      </c>
      <c r="AK39" s="31">
        <f>+W39/(C39/1000000)</f>
        <v>180.76740051420001</v>
      </c>
      <c r="AL39" s="31">
        <f>+Y39/(C39/1000000)</f>
        <v>192.68454690257298</v>
      </c>
      <c r="AM39" s="31">
        <f t="shared" si="10"/>
        <v>3524.8805377289286</v>
      </c>
      <c r="AO39" s="17">
        <f>+AE39/(C39/1000000)</f>
        <v>5612.9430104521498</v>
      </c>
      <c r="AP39" s="17">
        <f>+AF39/(C39/1000000)</f>
        <v>274.76138172060257</v>
      </c>
      <c r="AQ39" s="17">
        <f>+AG39/(C39/1000000)</f>
        <v>292.87511018337835</v>
      </c>
      <c r="AR39" s="17">
        <f>+AH39/(C39/1000000)</f>
        <v>5357.7196120070403</v>
      </c>
    </row>
    <row r="40" spans="1:44" s="11" customFormat="1">
      <c r="A40" s="10" t="s">
        <v>84</v>
      </c>
      <c r="B40" s="11" t="s">
        <v>82</v>
      </c>
      <c r="C40" s="12">
        <v>609655</v>
      </c>
      <c r="D40" s="27">
        <v>144.80000000000001</v>
      </c>
      <c r="E40" s="30">
        <f t="shared" si="8"/>
        <v>1.4716187806587344E-2</v>
      </c>
      <c r="F40" s="28">
        <f t="shared" si="12"/>
        <v>1.4979281767955801</v>
      </c>
      <c r="G40" s="32">
        <v>20.76</v>
      </c>
      <c r="H40" s="17">
        <v>269.39999999999998</v>
      </c>
      <c r="I40" s="17">
        <v>921.6</v>
      </c>
      <c r="J40" s="17">
        <v>53.6</v>
      </c>
      <c r="K40" s="17"/>
      <c r="L40" s="17">
        <v>759.2</v>
      </c>
      <c r="M40" s="16">
        <v>6.4</v>
      </c>
      <c r="N40" s="16"/>
      <c r="O40" s="18">
        <f t="shared" si="0"/>
        <v>2010.2</v>
      </c>
      <c r="P40" s="17">
        <f t="shared" si="7"/>
        <v>44481.799999999996</v>
      </c>
      <c r="Q40" s="17">
        <v>484.7</v>
      </c>
      <c r="R40" s="17"/>
      <c r="S40" s="20">
        <f t="shared" si="4"/>
        <v>2494.9</v>
      </c>
      <c r="T40" s="21">
        <f t="shared" si="1"/>
        <v>0.80572367629965125</v>
      </c>
      <c r="U40" s="22"/>
      <c r="V40" s="23">
        <v>2201.0836999999997</v>
      </c>
      <c r="W40" s="26">
        <v>93.141199999999998</v>
      </c>
      <c r="X40" s="25">
        <f t="shared" si="5"/>
        <v>2294.2248999999997</v>
      </c>
      <c r="Y40" s="26">
        <v>106.5086</v>
      </c>
      <c r="Z40" s="25">
        <f t="shared" si="2"/>
        <v>2400.7334999999998</v>
      </c>
      <c r="AA40" s="33">
        <f>1.4692+13.88+0.6</f>
        <v>15.949200000000001</v>
      </c>
      <c r="AB40" s="26"/>
      <c r="AC40" s="25">
        <f t="shared" si="11"/>
        <v>15.949200000000001</v>
      </c>
      <c r="AE40" s="17">
        <f>+V40*F40</f>
        <v>3297.0652937154691</v>
      </c>
      <c r="AF40" s="17">
        <f>+W40*F40</f>
        <v>139.51882790055248</v>
      </c>
      <c r="AG40" s="17">
        <f>+Y40*F40</f>
        <v>159.54223301104972</v>
      </c>
      <c r="AH40" s="17">
        <f t="shared" si="9"/>
        <v>3737.181008287293</v>
      </c>
      <c r="AJ40" s="31">
        <f>+V40/(C40/1000000)</f>
        <v>3610.3758683189672</v>
      </c>
      <c r="AK40" s="31">
        <f>+W40/(C40/1000000)</f>
        <v>152.77689840975634</v>
      </c>
      <c r="AL40" s="31">
        <f>+Y40/(C40/1000000)</f>
        <v>174.70306976896771</v>
      </c>
      <c r="AM40" s="31">
        <f t="shared" si="10"/>
        <v>4092.3145057450529</v>
      </c>
      <c r="AO40" s="17">
        <f>+AE40/(C40/1000000)</f>
        <v>5408.0837419777899</v>
      </c>
      <c r="AP40" s="17">
        <f>+AF40/(C40/1000000)</f>
        <v>228.84882089140987</v>
      </c>
      <c r="AQ40" s="17">
        <f>+AG40/(C40/1000000)</f>
        <v>261.69265077962081</v>
      </c>
      <c r="AR40" s="17">
        <f>+AH40/(C40/1000000)</f>
        <v>6129.9932064647928</v>
      </c>
    </row>
    <row r="41" spans="1:44" s="11" customFormat="1">
      <c r="A41" s="10" t="s">
        <v>85</v>
      </c>
      <c r="B41" s="29" t="s">
        <v>82</v>
      </c>
      <c r="C41" s="12">
        <v>617082</v>
      </c>
      <c r="D41" s="27">
        <v>146.9</v>
      </c>
      <c r="E41" s="30">
        <f t="shared" si="8"/>
        <v>1.4502762430939287E-2</v>
      </c>
      <c r="F41" s="28">
        <f t="shared" si="12"/>
        <v>1.4765146358066712</v>
      </c>
      <c r="G41" s="15">
        <v>15.39</v>
      </c>
      <c r="H41" s="17">
        <v>200.1</v>
      </c>
      <c r="I41" s="17">
        <v>577.79999999999995</v>
      </c>
      <c r="J41" s="17">
        <v>51.3</v>
      </c>
      <c r="K41" s="17"/>
      <c r="L41" s="17">
        <v>480.4</v>
      </c>
      <c r="M41" s="16">
        <v>23</v>
      </c>
      <c r="N41" s="16"/>
      <c r="O41" s="18">
        <f t="shared" si="0"/>
        <v>1332.6</v>
      </c>
      <c r="P41" s="17">
        <f t="shared" si="7"/>
        <v>45814.399999999994</v>
      </c>
      <c r="Q41" s="17">
        <v>492.9</v>
      </c>
      <c r="R41" s="17"/>
      <c r="S41" s="20">
        <f t="shared" si="4"/>
        <v>1825.5</v>
      </c>
      <c r="T41" s="21">
        <f t="shared" si="1"/>
        <v>0.72999178307313062</v>
      </c>
      <c r="U41" s="22"/>
      <c r="V41" s="23">
        <v>2183.0589</v>
      </c>
      <c r="W41" s="26">
        <v>72.270700000000005</v>
      </c>
      <c r="X41" s="25">
        <f t="shared" si="5"/>
        <v>2255.3296</v>
      </c>
      <c r="Y41" s="26">
        <v>97.997600000000006</v>
      </c>
      <c r="Z41" s="25">
        <f t="shared" si="2"/>
        <v>2353.3272000000002</v>
      </c>
      <c r="AA41" s="33">
        <f>1.4692+13.9721</f>
        <v>15.4413</v>
      </c>
      <c r="AB41" s="26">
        <v>-423.31918999999999</v>
      </c>
      <c r="AC41" s="25">
        <f t="shared" si="11"/>
        <v>-407.87788999999998</v>
      </c>
      <c r="AE41" s="17">
        <f>+V41*F41</f>
        <v>3223.318416678012</v>
      </c>
      <c r="AF41" s="17">
        <f>+W41*F41</f>
        <v>106.7087462899932</v>
      </c>
      <c r="AG41" s="17">
        <f>+Y41*F41</f>
        <v>144.69489067392786</v>
      </c>
      <c r="AH41" s="17">
        <f t="shared" si="9"/>
        <v>2695.3774676650783</v>
      </c>
      <c r="AJ41" s="31">
        <f>+V41/(C41/1000000)</f>
        <v>3537.7128161249234</v>
      </c>
      <c r="AK41" s="31">
        <f>+W41/(C41/1000000)</f>
        <v>117.11684994862919</v>
      </c>
      <c r="AL41" s="31">
        <f>+Y41/(C41/1000000)</f>
        <v>158.80806764741152</v>
      </c>
      <c r="AM41" s="31">
        <f t="shared" si="10"/>
        <v>2958.2778301749199</v>
      </c>
      <c r="AO41" s="17">
        <f>+AE41/(C41/1000000)</f>
        <v>5223.4847502892835</v>
      </c>
      <c r="AP41" s="17">
        <f>+AF41/(C41/1000000)</f>
        <v>172.92474304872479</v>
      </c>
      <c r="AQ41" s="17">
        <f>+AG41/(C41/1000000)</f>
        <v>234.48243616557906</v>
      </c>
      <c r="AR41" s="17">
        <f>+AH41/(C41/1000000)</f>
        <v>4367.9405130356718</v>
      </c>
    </row>
    <row r="42" spans="1:44" s="11" customFormat="1">
      <c r="A42" s="10" t="s">
        <v>86</v>
      </c>
      <c r="B42" s="11" t="s">
        <v>82</v>
      </c>
      <c r="C42" s="12">
        <v>622000</v>
      </c>
      <c r="D42" s="27">
        <v>148.4</v>
      </c>
      <c r="E42" s="30">
        <f t="shared" si="8"/>
        <v>1.0211027910143056E-2</v>
      </c>
      <c r="F42" s="28">
        <f t="shared" si="12"/>
        <v>1.4615902964959568</v>
      </c>
      <c r="G42" s="32">
        <v>12.99</v>
      </c>
      <c r="H42" s="17">
        <v>145.1</v>
      </c>
      <c r="I42" s="17">
        <v>371.1</v>
      </c>
      <c r="J42" s="17">
        <v>48.8</v>
      </c>
      <c r="K42" s="17"/>
      <c r="L42" s="17">
        <v>322.60000000000002</v>
      </c>
      <c r="M42" s="16">
        <v>25.6</v>
      </c>
      <c r="N42" s="16"/>
      <c r="O42" s="18">
        <f t="shared" si="0"/>
        <v>913.2</v>
      </c>
      <c r="P42" s="17">
        <f t="shared" si="7"/>
        <v>46727.599999999991</v>
      </c>
      <c r="Q42" s="17">
        <v>438.9</v>
      </c>
      <c r="R42" s="17"/>
      <c r="S42" s="20">
        <f t="shared" si="4"/>
        <v>1352.1</v>
      </c>
      <c r="T42" s="21">
        <f t="shared" si="1"/>
        <v>0.67539383181717338</v>
      </c>
      <c r="U42" s="22"/>
      <c r="V42" s="23">
        <v>2175.2744000000002</v>
      </c>
      <c r="W42" s="26">
        <v>46.029000000000003</v>
      </c>
      <c r="X42" s="25">
        <f t="shared" si="5"/>
        <v>2221.3034000000002</v>
      </c>
      <c r="Y42" s="26">
        <v>89.219899999999996</v>
      </c>
      <c r="Z42" s="25">
        <f t="shared" si="2"/>
        <v>2310.5233000000003</v>
      </c>
      <c r="AA42" s="33">
        <v>17.2486</v>
      </c>
      <c r="AB42" s="26">
        <v>-1098</v>
      </c>
      <c r="AC42" s="25">
        <f>+AA42+AB42</f>
        <v>-1080.7514000000001</v>
      </c>
      <c r="AE42" s="17">
        <f>+V42*F42</f>
        <v>3179.3599552560649</v>
      </c>
      <c r="AF42" s="17">
        <f>+W42*F42</f>
        <v>67.275539757412403</v>
      </c>
      <c r="AG42" s="17">
        <f>+Y42*F42</f>
        <v>130.40294009433961</v>
      </c>
      <c r="AH42" s="17">
        <f t="shared" si="9"/>
        <v>1976.216239892183</v>
      </c>
      <c r="AJ42" s="31">
        <f>+V42/(C42/1000000)</f>
        <v>3497.2257234726694</v>
      </c>
      <c r="AK42" s="31">
        <f>+W42/(C42/1000000)</f>
        <v>74.001607717041807</v>
      </c>
      <c r="AL42" s="31">
        <f>+Y42/(C42/1000000)</f>
        <v>143.4403536977492</v>
      </c>
      <c r="AM42" s="31">
        <f t="shared" si="10"/>
        <v>2173.7942122186496</v>
      </c>
      <c r="AO42" s="17">
        <f>+AE42/(C42/1000000)</f>
        <v>5111.5111820837055</v>
      </c>
      <c r="AP42" s="17">
        <f>+AF42/(C42/1000000)</f>
        <v>108.16003176432862</v>
      </c>
      <c r="AQ42" s="17">
        <f>+AG42/(C42/1000000)</f>
        <v>209.65102909057816</v>
      </c>
      <c r="AR42" s="17">
        <f>+AH42/(C42/1000000)</f>
        <v>3177.1965271578506</v>
      </c>
    </row>
    <row r="43" spans="1:44" s="11" customFormat="1">
      <c r="A43" s="34" t="s">
        <v>87</v>
      </c>
      <c r="B43" s="11" t="s">
        <v>82</v>
      </c>
      <c r="C43" s="12">
        <v>628346</v>
      </c>
      <c r="D43" s="27">
        <v>150.9</v>
      </c>
      <c r="E43" s="30">
        <f t="shared" si="8"/>
        <v>1.6846361185983927E-2</v>
      </c>
      <c r="F43" s="28">
        <f t="shared" si="12"/>
        <v>1.437375745526839</v>
      </c>
      <c r="G43" s="15">
        <v>24.42</v>
      </c>
      <c r="H43" s="17">
        <v>162.69999999999999</v>
      </c>
      <c r="I43" s="17">
        <v>702.7</v>
      </c>
      <c r="J43" s="17">
        <v>45</v>
      </c>
      <c r="K43" s="17"/>
      <c r="L43" s="17">
        <v>731.9</v>
      </c>
      <c r="M43" s="16">
        <v>4</v>
      </c>
      <c r="N43" s="16"/>
      <c r="O43" s="18">
        <f t="shared" si="0"/>
        <v>1646.3000000000002</v>
      </c>
      <c r="P43" s="17">
        <f t="shared" si="7"/>
        <v>48373.899999999994</v>
      </c>
      <c r="Q43" s="17">
        <v>501.3</v>
      </c>
      <c r="R43" s="17"/>
      <c r="S43" s="20">
        <f t="shared" si="4"/>
        <v>2147.6000000000004</v>
      </c>
      <c r="T43" s="21">
        <f t="shared" si="1"/>
        <v>0.76657664369528766</v>
      </c>
      <c r="U43" s="22"/>
      <c r="V43" s="23">
        <v>2066.1608999999999</v>
      </c>
      <c r="W43" s="26">
        <v>13.933</v>
      </c>
      <c r="X43" s="25">
        <f t="shared" si="5"/>
        <v>2080.0938999999998</v>
      </c>
      <c r="Y43" s="26">
        <v>104.202</v>
      </c>
      <c r="Z43" s="25">
        <f t="shared" si="2"/>
        <v>2184.2959000000001</v>
      </c>
      <c r="AA43" s="33">
        <f>3.8+1673.5016-1633.971</f>
        <v>43.330600000000004</v>
      </c>
      <c r="AB43" s="26">
        <v>-342</v>
      </c>
      <c r="AC43" s="25">
        <f t="shared" si="11"/>
        <v>-298.6694</v>
      </c>
      <c r="AE43" s="17">
        <f>+V43*F43</f>
        <v>2969.8495640159044</v>
      </c>
      <c r="AF43" s="17">
        <f>+W43*F43</f>
        <v>20.026956262425447</v>
      </c>
      <c r="AG43" s="17">
        <f>+Y43*F43</f>
        <v>149.77742743538766</v>
      </c>
      <c r="AH43" s="17">
        <f t="shared" si="9"/>
        <v>3086.9081510934398</v>
      </c>
      <c r="AJ43" s="31">
        <f>+V43/(C43/1000000)</f>
        <v>3288.2534463496227</v>
      </c>
      <c r="AK43" s="31">
        <f>+W43/(C43/1000000)</f>
        <v>22.174088798209905</v>
      </c>
      <c r="AL43" s="31">
        <f>+Y43/(C43/1000000)</f>
        <v>165.83538368987789</v>
      </c>
      <c r="AM43" s="31">
        <f t="shared" si="10"/>
        <v>3417.8621332832554</v>
      </c>
      <c r="AO43" s="17">
        <f>+AE43/(C43/1000000)</f>
        <v>4726.4557489279869</v>
      </c>
      <c r="AP43" s="17">
        <f>+AF43/(C43/1000000)</f>
        <v>31.87249741770529</v>
      </c>
      <c r="AQ43" s="17">
        <f>+AG43/(C43/1000000)</f>
        <v>238.36775826596761</v>
      </c>
      <c r="AR43" s="17">
        <f>+AH43/(C43/1000000)</f>
        <v>4912.7521319359712</v>
      </c>
    </row>
    <row r="44" spans="1:44" s="11" customFormat="1">
      <c r="A44" s="34" t="s">
        <v>88</v>
      </c>
      <c r="B44" s="11" t="s">
        <v>82</v>
      </c>
      <c r="C44" s="12">
        <v>632716</v>
      </c>
      <c r="D44" s="27">
        <v>155.19999999999999</v>
      </c>
      <c r="E44" s="30">
        <f t="shared" si="8"/>
        <v>2.8495692511596893E-2</v>
      </c>
      <c r="F44" s="28">
        <f t="shared" si="12"/>
        <v>1.3975515463917527</v>
      </c>
      <c r="G44" s="32">
        <v>27.54</v>
      </c>
      <c r="H44" s="17">
        <v>338.1</v>
      </c>
      <c r="I44" s="17">
        <v>703.8</v>
      </c>
      <c r="J44" s="17">
        <v>45.1</v>
      </c>
      <c r="K44" s="17"/>
      <c r="L44" s="17">
        <v>781</v>
      </c>
      <c r="M44" s="16">
        <v>7.1</v>
      </c>
      <c r="N44" s="16"/>
      <c r="O44" s="18">
        <f t="shared" si="0"/>
        <v>1875.1</v>
      </c>
      <c r="P44" s="17">
        <f t="shared" si="7"/>
        <v>50248.999999999993</v>
      </c>
      <c r="Q44" s="17">
        <v>406.9</v>
      </c>
      <c r="R44" s="17"/>
      <c r="S44" s="20">
        <f t="shared" si="4"/>
        <v>2282</v>
      </c>
      <c r="T44" s="21">
        <f t="shared" si="1"/>
        <v>0.82169149868536373</v>
      </c>
      <c r="U44" s="22"/>
      <c r="V44" s="23">
        <v>2117.2136</v>
      </c>
      <c r="W44" s="26">
        <v>29.250399999999999</v>
      </c>
      <c r="X44" s="25">
        <f t="shared" si="5"/>
        <v>2146.4639999999999</v>
      </c>
      <c r="Y44" s="26">
        <v>146.95339999999999</v>
      </c>
      <c r="Z44" s="25">
        <f t="shared" si="2"/>
        <v>2293.4173999999998</v>
      </c>
      <c r="AA44" s="33">
        <f>1952.0118-1820.761</f>
        <v>131.25080000000003</v>
      </c>
      <c r="AB44" s="26"/>
      <c r="AC44" s="25">
        <f t="shared" si="11"/>
        <v>131.25080000000003</v>
      </c>
      <c r="AE44" s="17">
        <f>+V44*F44</f>
        <v>2958.91514072165</v>
      </c>
      <c r="AF44" s="17">
        <f>+W44*F44</f>
        <v>40.878941752577326</v>
      </c>
      <c r="AG44" s="17">
        <f>+Y44*F44</f>
        <v>205.37495141752578</v>
      </c>
      <c r="AH44" s="17">
        <f t="shared" si="9"/>
        <v>3189.2126288659797</v>
      </c>
      <c r="AJ44" s="31">
        <f>+V44/(C44/1000000)</f>
        <v>3346.2305362911643</v>
      </c>
      <c r="AK44" s="31">
        <f>+W44/(C44/1000000)</f>
        <v>46.229904095992516</v>
      </c>
      <c r="AL44" s="31">
        <f>+Y44/(C44/1000000)</f>
        <v>232.25807471282533</v>
      </c>
      <c r="AM44" s="31">
        <f t="shared" si="10"/>
        <v>3606.6734522281722</v>
      </c>
      <c r="AO44" s="17">
        <f>+AE44/(C44/1000000)</f>
        <v>4676.5296605770209</v>
      </c>
      <c r="AP44" s="17">
        <f>+AF44/(C44/1000000)</f>
        <v>64.608673958896773</v>
      </c>
      <c r="AQ44" s="17">
        <f>+AG44/(C44/1000000)</f>
        <v>324.59263147688029</v>
      </c>
      <c r="AR44" s="17">
        <f>+AH44/(C44/1000000)</f>
        <v>5040.5120604915637</v>
      </c>
    </row>
    <row r="45" spans="1:44" s="11" customFormat="1">
      <c r="A45" s="34" t="s">
        <v>89</v>
      </c>
      <c r="B45" s="11" t="s">
        <v>82</v>
      </c>
      <c r="C45" s="12">
        <v>641729</v>
      </c>
      <c r="D45" s="27">
        <v>158.19999999999999</v>
      </c>
      <c r="E45" s="30">
        <f t="shared" si="8"/>
        <v>1.9329896907216426E-2</v>
      </c>
      <c r="F45" s="28">
        <f t="shared" si="12"/>
        <v>1.3710493046776233</v>
      </c>
      <c r="G45" s="15">
        <v>21.65</v>
      </c>
      <c r="H45" s="17">
        <v>178.4</v>
      </c>
      <c r="I45" s="17">
        <v>496.3</v>
      </c>
      <c r="J45" s="17">
        <v>49.6</v>
      </c>
      <c r="K45" s="17"/>
      <c r="L45" s="17">
        <v>581.20000000000005</v>
      </c>
      <c r="M45" s="16">
        <v>14.6</v>
      </c>
      <c r="N45" s="16"/>
      <c r="O45" s="18">
        <f t="shared" si="0"/>
        <v>1320.1</v>
      </c>
      <c r="P45" s="17">
        <f t="shared" si="7"/>
        <v>51569.099999999991</v>
      </c>
      <c r="Q45" s="17">
        <v>347.9</v>
      </c>
      <c r="R45" s="17"/>
      <c r="S45" s="20">
        <f t="shared" si="4"/>
        <v>1668</v>
      </c>
      <c r="T45" s="21">
        <f t="shared" si="1"/>
        <v>0.79142685851318939</v>
      </c>
      <c r="U45" s="22"/>
      <c r="V45" s="23">
        <v>2258.5284000000001</v>
      </c>
      <c r="W45" s="26">
        <v>59.325000000000003</v>
      </c>
      <c r="X45" s="25">
        <f t="shared" si="5"/>
        <v>2317.8534</v>
      </c>
      <c r="Y45" s="26">
        <v>193.15360000000001</v>
      </c>
      <c r="Z45" s="25">
        <f t="shared" si="2"/>
        <v>2511.0070000000001</v>
      </c>
      <c r="AA45" s="33">
        <f>15.1077+1590.9314-1532.402</f>
        <v>73.637099999999919</v>
      </c>
      <c r="AB45" s="26">
        <v>-750</v>
      </c>
      <c r="AC45" s="25">
        <f t="shared" si="11"/>
        <v>-676.36290000000008</v>
      </c>
      <c r="AE45" s="17">
        <f>+V45*F45</f>
        <v>3096.5537924146652</v>
      </c>
      <c r="AF45" s="17">
        <f>+W45*F45</f>
        <v>81.337500000000006</v>
      </c>
      <c r="AG45" s="17">
        <f>+Y45*F45</f>
        <v>264.82310897597978</v>
      </c>
      <c r="AH45" s="17">
        <f t="shared" si="9"/>
        <v>2286.9102402022759</v>
      </c>
      <c r="AJ45" s="31">
        <f>+V45/(C45/1000000)</f>
        <v>3519.4426307678168</v>
      </c>
      <c r="AK45" s="31">
        <f>+W45/(C45/1000000)</f>
        <v>92.44556502822843</v>
      </c>
      <c r="AL45" s="31">
        <f>+Y45/(C45/1000000)</f>
        <v>300.98935843634933</v>
      </c>
      <c r="AM45" s="31">
        <f t="shared" si="10"/>
        <v>2599.2280230439951</v>
      </c>
      <c r="AO45" s="17">
        <f>+AE45/(C45/1000000)</f>
        <v>4825.3293717670003</v>
      </c>
      <c r="AP45" s="17">
        <f>+AF45/(C45/1000000)</f>
        <v>126.7474276524826</v>
      </c>
      <c r="AQ45" s="17">
        <f>+AG45/(C45/1000000)</f>
        <v>412.67125059952065</v>
      </c>
      <c r="AR45" s="17">
        <f>+AH45/(C45/1000000)</f>
        <v>3563.6697736930632</v>
      </c>
    </row>
    <row r="46" spans="1:44" s="11" customFormat="1">
      <c r="A46" s="34" t="s">
        <v>90</v>
      </c>
      <c r="B46" s="29" t="s">
        <v>91</v>
      </c>
      <c r="C46" s="12">
        <v>649466</v>
      </c>
      <c r="D46" s="27">
        <v>162.5</v>
      </c>
      <c r="E46" s="30">
        <f t="shared" si="8"/>
        <v>2.7180783817952081E-2</v>
      </c>
      <c r="F46" s="28">
        <f t="shared" si="12"/>
        <v>1.3347692307692307</v>
      </c>
      <c r="G46" s="32">
        <v>28.59</v>
      </c>
      <c r="H46" s="17">
        <v>151.1</v>
      </c>
      <c r="I46" s="17">
        <v>599</v>
      </c>
      <c r="J46" s="17">
        <v>48.7</v>
      </c>
      <c r="K46" s="17"/>
      <c r="L46" s="17">
        <v>830.7</v>
      </c>
      <c r="M46" s="16">
        <v>9.6</v>
      </c>
      <c r="N46" s="16"/>
      <c r="O46" s="18">
        <f t="shared" si="0"/>
        <v>1639.1</v>
      </c>
      <c r="P46" s="17">
        <f t="shared" si="7"/>
        <v>53208.19999999999</v>
      </c>
      <c r="Q46" s="17">
        <v>307.8</v>
      </c>
      <c r="R46" s="17"/>
      <c r="S46" s="20">
        <f t="shared" si="4"/>
        <v>1946.8999999999999</v>
      </c>
      <c r="T46" s="21">
        <f t="shared" si="1"/>
        <v>0.84190251168524322</v>
      </c>
      <c r="U46" s="22"/>
      <c r="V46" s="23">
        <v>2340.2053000000001</v>
      </c>
      <c r="W46" s="26">
        <v>53.898200000000003</v>
      </c>
      <c r="X46" s="25">
        <f t="shared" si="5"/>
        <v>2394.1035000000002</v>
      </c>
      <c r="Y46" s="26">
        <v>157.1326</v>
      </c>
      <c r="Z46" s="25">
        <f t="shared" si="2"/>
        <v>2551.2361000000001</v>
      </c>
      <c r="AA46" s="33">
        <f>15+1089.5116-1048.87</f>
        <v>55.641600000000153</v>
      </c>
      <c r="AB46" s="26">
        <v>-549</v>
      </c>
      <c r="AC46" s="25">
        <f t="shared" si="11"/>
        <v>-493.35839999999985</v>
      </c>
      <c r="AD46" s="35"/>
      <c r="AE46" s="17">
        <f>+V46*F46</f>
        <v>3123.6340281230769</v>
      </c>
      <c r="AF46" s="17">
        <f>+W46*F46</f>
        <v>71.941658953846158</v>
      </c>
      <c r="AG46" s="17">
        <f>+Y46*F46</f>
        <v>209.73575963076922</v>
      </c>
      <c r="AH46" s="17">
        <f t="shared" si="9"/>
        <v>2598.6622153846151</v>
      </c>
      <c r="AJ46" s="31">
        <f>+V46/(C46/1000000)</f>
        <v>3603.2760760378528</v>
      </c>
      <c r="AK46" s="31">
        <f>+W46/(C46/1000000)</f>
        <v>82.988485925360223</v>
      </c>
      <c r="AL46" s="31">
        <f>+Y46/(C46/1000000)</f>
        <v>241.94122556069141</v>
      </c>
      <c r="AM46" s="31">
        <f t="shared" si="10"/>
        <v>2997.6934897284846</v>
      </c>
      <c r="AO46" s="17">
        <f>+AE46/(C46/1000000)</f>
        <v>4809.5420362622172</v>
      </c>
      <c r="AP46" s="17">
        <f>+AF46/(C46/1000000)</f>
        <v>110.7704775212962</v>
      </c>
      <c r="AQ46" s="17">
        <f>+AG46/(C46/1000000)</f>
        <v>322.93570353300902</v>
      </c>
      <c r="AR46" s="17">
        <f>+AH46/(C46/1000000)</f>
        <v>4001.2290333668202</v>
      </c>
    </row>
    <row r="47" spans="1:44" s="11" customFormat="1">
      <c r="A47" s="34" t="s">
        <v>92</v>
      </c>
      <c r="B47" s="11" t="s">
        <v>91</v>
      </c>
      <c r="C47" s="12">
        <v>659653</v>
      </c>
      <c r="D47" s="27">
        <v>166.7</v>
      </c>
      <c r="E47" s="30">
        <f t="shared" si="8"/>
        <v>2.5846153846153852E-2</v>
      </c>
      <c r="F47" s="28">
        <f t="shared" si="12"/>
        <v>1.3011397720455911</v>
      </c>
      <c r="G47" s="15">
        <v>32.36</v>
      </c>
      <c r="H47" s="17">
        <v>298.8</v>
      </c>
      <c r="I47" s="17">
        <v>651.9</v>
      </c>
      <c r="J47" s="17">
        <v>47.3</v>
      </c>
      <c r="K47" s="17"/>
      <c r="L47" s="17">
        <v>1042.8</v>
      </c>
      <c r="M47" s="16">
        <f>10.4+2.9</f>
        <v>13.3</v>
      </c>
      <c r="N47" s="16"/>
      <c r="O47" s="18">
        <f>SUM(H47:N47)</f>
        <v>2054.1</v>
      </c>
      <c r="P47" s="17">
        <f t="shared" si="7"/>
        <v>55262.299999999988</v>
      </c>
      <c r="Q47" s="17">
        <v>291.5</v>
      </c>
      <c r="R47" s="17"/>
      <c r="S47" s="20">
        <f t="shared" si="4"/>
        <v>2345.6</v>
      </c>
      <c r="T47" s="21">
        <f t="shared" si="1"/>
        <v>0.875724761255116</v>
      </c>
      <c r="U47" s="36"/>
      <c r="V47" s="23">
        <v>2179.0106000000001</v>
      </c>
      <c r="W47" s="26">
        <v>69.425799999999995</v>
      </c>
      <c r="X47" s="25">
        <f t="shared" si="5"/>
        <v>2248.4364</v>
      </c>
      <c r="Y47" s="26">
        <v>162.42490000000001</v>
      </c>
      <c r="Z47" s="25">
        <f t="shared" si="2"/>
        <v>2410.8613</v>
      </c>
      <c r="AA47" s="33">
        <f>1219.0699-1129.148</f>
        <v>89.921900000000051</v>
      </c>
      <c r="AB47" s="26">
        <v>-83</v>
      </c>
      <c r="AC47" s="25">
        <f t="shared" si="11"/>
        <v>6.9219000000000506</v>
      </c>
      <c r="AE47" s="17">
        <f>+V47*F47</f>
        <v>2835.1973553689268</v>
      </c>
      <c r="AF47" s="17">
        <f>+W47*F47</f>
        <v>90.332669586082787</v>
      </c>
      <c r="AG47" s="17">
        <f>+Y47*F47</f>
        <v>211.33749736052792</v>
      </c>
      <c r="AH47" s="17">
        <f t="shared" si="9"/>
        <v>3051.9534493101382</v>
      </c>
      <c r="AI47" s="37"/>
      <c r="AJ47" s="31">
        <f>+V47/(C47/1000000)</f>
        <v>3303.2679302603033</v>
      </c>
      <c r="AK47" s="31">
        <f>+W47/(C47/1000000)</f>
        <v>105.24593991083189</v>
      </c>
      <c r="AL47" s="31">
        <f>+Y47/(C47/1000000)</f>
        <v>246.22778945900345</v>
      </c>
      <c r="AM47" s="31">
        <f t="shared" si="10"/>
        <v>3555.80888739989</v>
      </c>
      <c r="AN47" s="37"/>
      <c r="AO47" s="17">
        <f>+AE47/(C47/1000000)</f>
        <v>4298.0132817844024</v>
      </c>
      <c r="AP47" s="17">
        <f>+AF47/(C47/1000000)</f>
        <v>136.93967826430378</v>
      </c>
      <c r="AQ47" s="17">
        <f>+AG47/(C47/1000000)</f>
        <v>320.37676984797753</v>
      </c>
      <c r="AR47" s="17">
        <f>+AH47/(C47/1000000)</f>
        <v>4626.6043651891796</v>
      </c>
    </row>
    <row r="48" spans="1:44" s="11" customFormat="1">
      <c r="A48" s="34" t="s">
        <v>93</v>
      </c>
      <c r="B48" s="11" t="s">
        <v>91</v>
      </c>
      <c r="C48" s="12">
        <v>667146</v>
      </c>
      <c r="D48" s="27">
        <v>171.8</v>
      </c>
      <c r="E48" s="30">
        <f t="shared" si="8"/>
        <v>3.0593881223755393E-2</v>
      </c>
      <c r="F48" s="28">
        <f t="shared" si="12"/>
        <v>1.2625145518044236</v>
      </c>
      <c r="G48" s="32">
        <v>44.85</v>
      </c>
      <c r="H48" s="17">
        <v>524</v>
      </c>
      <c r="I48" s="17">
        <v>863.2</v>
      </c>
      <c r="J48" s="17">
        <v>42.5</v>
      </c>
      <c r="K48" s="17"/>
      <c r="L48" s="17">
        <v>1401</v>
      </c>
      <c r="M48" s="16">
        <v>18.8</v>
      </c>
      <c r="N48" s="16"/>
      <c r="O48" s="18">
        <f t="shared" ref="O48:O55" si="13">SUM(H48:N48)</f>
        <v>2849.5</v>
      </c>
      <c r="P48" s="17">
        <f>$P47+O48</f>
        <v>58111.799999999988</v>
      </c>
      <c r="Q48" s="17">
        <v>339</v>
      </c>
      <c r="R48" s="17"/>
      <c r="S48" s="20">
        <f t="shared" si="4"/>
        <v>3188.5</v>
      </c>
      <c r="T48" s="21">
        <f t="shared" si="1"/>
        <v>0.89368041398776854</v>
      </c>
      <c r="U48" s="36"/>
      <c r="V48" s="23">
        <v>2392.7177000000001</v>
      </c>
      <c r="W48" s="26">
        <v>73.472200000000001</v>
      </c>
      <c r="X48" s="25">
        <f t="shared" si="5"/>
        <v>2466.1899000000003</v>
      </c>
      <c r="Y48" s="26">
        <v>180.1961</v>
      </c>
      <c r="Z48" s="25">
        <f t="shared" si="2"/>
        <v>2646.3860000000004</v>
      </c>
      <c r="AA48" s="33">
        <f>1648.1019-1173.131</f>
        <v>474.9708999999998</v>
      </c>
      <c r="AB48" s="26">
        <v>-11</v>
      </c>
      <c r="AC48" s="25">
        <f t="shared" si="11"/>
        <v>463.9708999999998</v>
      </c>
      <c r="AE48" s="17">
        <f>+V48*F48</f>
        <v>3020.8409146100116</v>
      </c>
      <c r="AF48" s="17">
        <f>+W48*F48</f>
        <v>92.759721653084981</v>
      </c>
      <c r="AG48" s="17">
        <f>+Y48*F48</f>
        <v>227.5001984284051</v>
      </c>
      <c r="AH48" s="17">
        <f t="shared" si="9"/>
        <v>4025.5276484284045</v>
      </c>
      <c r="AJ48" s="31">
        <f>+V48/(C48/1000000)</f>
        <v>3586.4978580400693</v>
      </c>
      <c r="AK48" s="31">
        <f>+W48/(C48/1000000)</f>
        <v>110.12911716475854</v>
      </c>
      <c r="AL48" s="31">
        <f>+Y48/(C48/1000000)</f>
        <v>270.09994813728929</v>
      </c>
      <c r="AM48" s="31">
        <f t="shared" si="10"/>
        <v>4779.313673468776</v>
      </c>
      <c r="AO48" s="17">
        <f>+AE48/(C48/1000000)</f>
        <v>4528.0057357909836</v>
      </c>
      <c r="AP48" s="17">
        <f>+AF48/(C48/1000000)</f>
        <v>139.03961299788199</v>
      </c>
      <c r="AQ48" s="17">
        <f>+AG48/(C48/1000000)</f>
        <v>341.00511496494784</v>
      </c>
      <c r="AR48" s="17">
        <f>+AH48/(C48/1000000)</f>
        <v>6033.9530603921849</v>
      </c>
    </row>
    <row r="49" spans="1:44" s="11" customFormat="1">
      <c r="A49" s="34" t="s">
        <v>94</v>
      </c>
      <c r="B49" s="11" t="s">
        <v>91</v>
      </c>
      <c r="C49" s="12">
        <v>674583</v>
      </c>
      <c r="D49" s="27">
        <v>177.3</v>
      </c>
      <c r="E49" s="30">
        <f t="shared" si="8"/>
        <v>3.2013969732246794E-2</v>
      </c>
      <c r="F49" s="28">
        <f t="shared" si="12"/>
        <v>1.2233502538071066</v>
      </c>
      <c r="G49" s="15">
        <v>62.12</v>
      </c>
      <c r="H49" s="17">
        <v>661.1</v>
      </c>
      <c r="I49" s="17">
        <v>1199.55</v>
      </c>
      <c r="J49" s="17">
        <v>54.5</v>
      </c>
      <c r="K49" s="17"/>
      <c r="L49" s="17">
        <v>1772.2</v>
      </c>
      <c r="M49" s="16">
        <v>11.9</v>
      </c>
      <c r="N49" s="16"/>
      <c r="O49" s="18">
        <f t="shared" si="13"/>
        <v>3699.2500000000005</v>
      </c>
      <c r="P49" s="17">
        <f t="shared" si="7"/>
        <v>61811.049999999988</v>
      </c>
      <c r="Q49" s="17">
        <v>501.14999999999918</v>
      </c>
      <c r="R49" s="17"/>
      <c r="S49" s="20">
        <f>+O49+Q49</f>
        <v>4200.3999999999996</v>
      </c>
      <c r="T49" s="21">
        <f t="shared" si="1"/>
        <v>0.8806899342919724</v>
      </c>
      <c r="U49" s="22"/>
      <c r="V49" s="23">
        <v>2705.3099000000002</v>
      </c>
      <c r="W49" s="26">
        <v>158.47130000000001</v>
      </c>
      <c r="X49" s="25">
        <f t="shared" si="5"/>
        <v>2863.7812000000004</v>
      </c>
      <c r="Y49" s="26">
        <v>426.75650000000002</v>
      </c>
      <c r="Z49" s="25">
        <f t="shared" si="2"/>
        <v>3290.5377000000003</v>
      </c>
      <c r="AA49" s="33">
        <f>38.124+2516.1021-1544.5365</f>
        <v>1009.6895999999999</v>
      </c>
      <c r="AB49" s="26">
        <v>-34.9</v>
      </c>
      <c r="AC49" s="25">
        <f>+AA49+AB49</f>
        <v>974.78959999999995</v>
      </c>
      <c r="AE49" s="17">
        <f>+V49*F49</f>
        <v>3309.5415527918785</v>
      </c>
      <c r="AF49" s="17">
        <f>+W49*F49</f>
        <v>193.86590507614216</v>
      </c>
      <c r="AG49" s="17">
        <f>+Y49*F49</f>
        <v>522.07267258883246</v>
      </c>
      <c r="AH49" s="17">
        <f t="shared" si="9"/>
        <v>5138.5604060913702</v>
      </c>
      <c r="AJ49" s="31">
        <f>+V49/(C49/1000000)</f>
        <v>4010.3440199352785</v>
      </c>
      <c r="AK49" s="31">
        <f>+W49/(C49/1000000)</f>
        <v>234.91742305987552</v>
      </c>
      <c r="AL49" s="31">
        <f>+Y49/(C49/1000000)</f>
        <v>632.62267208038145</v>
      </c>
      <c r="AM49" s="31">
        <f t="shared" si="10"/>
        <v>6226.6615079241537</v>
      </c>
      <c r="AO49" s="17">
        <f>+AE49/(C49/1000000)</f>
        <v>4906.0553746416354</v>
      </c>
      <c r="AP49" s="17">
        <f>+AF49/(C49/1000000)</f>
        <v>287.38628912401015</v>
      </c>
      <c r="AQ49" s="17">
        <f>+AG49/(C49/1000000)</f>
        <v>773.91910645366465</v>
      </c>
      <c r="AR49" s="17">
        <f>+AH49/(C49/1000000)</f>
        <v>7617.3879360899546</v>
      </c>
    </row>
    <row r="50" spans="1:44" s="11" customFormat="1">
      <c r="A50" s="34" t="s">
        <v>95</v>
      </c>
      <c r="B50" s="29" t="s">
        <v>96</v>
      </c>
      <c r="C50" s="12">
        <v>680169</v>
      </c>
      <c r="D50" s="27">
        <v>181.23699999999999</v>
      </c>
      <c r="E50" s="30">
        <f t="shared" si="8"/>
        <v>2.2205301748448925E-2</v>
      </c>
      <c r="F50" s="28">
        <f t="shared" si="12"/>
        <v>1.1967754928629364</v>
      </c>
      <c r="G50" s="15">
        <v>61.6</v>
      </c>
      <c r="H50" s="17">
        <v>594.4</v>
      </c>
      <c r="I50" s="17">
        <v>2208.4</v>
      </c>
      <c r="J50" s="17">
        <v>65.599999999999994</v>
      </c>
      <c r="K50" s="17"/>
      <c r="L50" s="17">
        <v>1583.8</v>
      </c>
      <c r="M50" s="16">
        <v>29.2</v>
      </c>
      <c r="N50" s="16"/>
      <c r="O50" s="18">
        <f t="shared" si="13"/>
        <v>4481.3999999999996</v>
      </c>
      <c r="P50" s="17">
        <f t="shared" si="7"/>
        <v>66292.449999999983</v>
      </c>
      <c r="Q50" s="17">
        <v>667.1</v>
      </c>
      <c r="R50" s="17"/>
      <c r="S50" s="20">
        <f t="shared" si="4"/>
        <v>5148.5</v>
      </c>
      <c r="T50" s="21">
        <f t="shared" si="1"/>
        <v>0.87042828008157713</v>
      </c>
      <c r="U50" s="22"/>
      <c r="V50" s="23">
        <v>2986.3290000000002</v>
      </c>
      <c r="W50" s="26">
        <v>196.67689999999999</v>
      </c>
      <c r="X50" s="25">
        <f t="shared" si="5"/>
        <v>3183.0059000000001</v>
      </c>
      <c r="Y50" s="26">
        <v>1003.4955</v>
      </c>
      <c r="Z50" s="25">
        <f t="shared" si="2"/>
        <v>4186.5014000000001</v>
      </c>
      <c r="AA50" s="33">
        <f>+S50-Z50</f>
        <v>961.9985999999999</v>
      </c>
      <c r="AB50" s="26"/>
      <c r="AC50" s="25">
        <f t="shared" si="11"/>
        <v>961.9985999999999</v>
      </c>
      <c r="AE50" s="17">
        <f>+V50*F50</f>
        <v>3573.96536082588</v>
      </c>
      <c r="AF50" s="17">
        <f>+W50*F50</f>
        <v>235.37809393225444</v>
      </c>
      <c r="AG50" s="17">
        <f>+Y50*F50</f>
        <v>1200.9588215982387</v>
      </c>
      <c r="AH50" s="17">
        <f t="shared" si="9"/>
        <v>6161.5986250048281</v>
      </c>
      <c r="AJ50" s="31">
        <f>+V50/(C50/1000000)</f>
        <v>4390.5691085597846</v>
      </c>
      <c r="AK50" s="31">
        <f>+W50/(C50/1000000)</f>
        <v>289.15887081004865</v>
      </c>
      <c r="AL50" s="31">
        <f>+Y50/(C50/1000000)</f>
        <v>1475.3620056191917</v>
      </c>
      <c r="AM50" s="31">
        <f t="shared" si="10"/>
        <v>7569.4423003694665</v>
      </c>
      <c r="AO50" s="17">
        <f>+AE50/(C50/1000000)</f>
        <v>5254.5255088454187</v>
      </c>
      <c r="AP50" s="17">
        <f>+AF50/(C50/1000000)</f>
        <v>346.05825012938612</v>
      </c>
      <c r="AQ50" s="17">
        <f>+AG50/(C50/1000000)</f>
        <v>1765.6770914261583</v>
      </c>
      <c r="AR50" s="17">
        <f>+AH50/(C50/1000000)</f>
        <v>9058.9230397222273</v>
      </c>
    </row>
    <row r="51" spans="1:44" s="38" customFormat="1">
      <c r="A51" s="34" t="s">
        <v>97</v>
      </c>
      <c r="B51" s="38" t="s">
        <v>96</v>
      </c>
      <c r="C51" s="12">
        <v>686818</v>
      </c>
      <c r="D51" s="27">
        <v>189.49700000000001</v>
      </c>
      <c r="E51" s="30">
        <f t="shared" si="8"/>
        <v>4.5575682669653617E-2</v>
      </c>
      <c r="F51" s="28">
        <f t="shared" si="12"/>
        <v>1.144609149485216</v>
      </c>
      <c r="G51" s="32">
        <v>96.51</v>
      </c>
      <c r="H51" s="39">
        <v>605.79999999999995</v>
      </c>
      <c r="I51" s="40">
        <v>6822.6</v>
      </c>
      <c r="J51" s="40">
        <v>81.5</v>
      </c>
      <c r="K51" s="40"/>
      <c r="L51" s="40">
        <v>2420.6</v>
      </c>
      <c r="M51" s="38">
        <v>25.5</v>
      </c>
      <c r="O51" s="18">
        <f t="shared" si="13"/>
        <v>9956</v>
      </c>
      <c r="P51" s="39">
        <f t="shared" si="7"/>
        <v>76248.449999999983</v>
      </c>
      <c r="Q51" s="40">
        <f>+S51-O51</f>
        <v>793.10000000000036</v>
      </c>
      <c r="R51" s="40"/>
      <c r="S51" s="20">
        <v>10749.1</v>
      </c>
      <c r="T51" s="41">
        <f t="shared" si="1"/>
        <v>0.92621707863914182</v>
      </c>
      <c r="U51" s="42"/>
      <c r="V51" s="23">
        <v>3149.5749999999998</v>
      </c>
      <c r="W51" s="26">
        <v>961.61509999999998</v>
      </c>
      <c r="X51" s="25">
        <f t="shared" si="5"/>
        <v>4111.1900999999998</v>
      </c>
      <c r="Y51" s="26">
        <v>1229.846</v>
      </c>
      <c r="Z51" s="25">
        <f t="shared" si="2"/>
        <v>5341.0360999999994</v>
      </c>
      <c r="AA51" s="33">
        <f>+S51-Z51</f>
        <v>5408.063900000001</v>
      </c>
      <c r="AB51" s="26"/>
      <c r="AC51" s="25">
        <f t="shared" si="11"/>
        <v>5408.063900000001</v>
      </c>
      <c r="AD51" s="11"/>
      <c r="AE51" s="17">
        <f>+V51*F51</f>
        <v>3605.0323619898991</v>
      </c>
      <c r="AF51" s="17">
        <f>+W51*F51</f>
        <v>1100.673441743141</v>
      </c>
      <c r="AG51" s="17">
        <f>+Y51*F51</f>
        <v>1407.692984057795</v>
      </c>
      <c r="AH51" s="17">
        <f t="shared" si="9"/>
        <v>12303.518208731535</v>
      </c>
      <c r="AI51" s="11"/>
      <c r="AJ51" s="31">
        <f>+V51/(C51/1000000)</f>
        <v>4585.7490630705652</v>
      </c>
      <c r="AK51" s="31">
        <f>+W51/(C51/1000000)</f>
        <v>1400.10177368677</v>
      </c>
      <c r="AL51" s="31">
        <f>+Y51/(C51/1000000)</f>
        <v>1790.6432271722638</v>
      </c>
      <c r="AM51" s="31">
        <f t="shared" si="10"/>
        <v>15650.579920735916</v>
      </c>
      <c r="AN51" s="11"/>
      <c r="AO51" s="17">
        <f>+AE51/(C51/1000000)</f>
        <v>5248.8903348338263</v>
      </c>
      <c r="AP51" s="17">
        <f>+AF51/(C51/1000000)</f>
        <v>1602.5693003723561</v>
      </c>
      <c r="AQ51" s="17">
        <f>+AG51/(C51/1000000)</f>
        <v>2049.5866212851074</v>
      </c>
      <c r="AR51" s="17">
        <f>+AH51/(C51/1000000)</f>
        <v>17913.796972023934</v>
      </c>
    </row>
    <row r="52" spans="1:44" s="38" customFormat="1">
      <c r="A52" s="34" t="s">
        <v>98</v>
      </c>
      <c r="B52" s="38" t="s">
        <v>96</v>
      </c>
      <c r="C52" s="12">
        <v>697828</v>
      </c>
      <c r="D52" s="27">
        <v>191.744</v>
      </c>
      <c r="E52" s="30">
        <f t="shared" si="8"/>
        <v>1.1857707509881354E-2</v>
      </c>
      <c r="F52" s="28">
        <f t="shared" si="12"/>
        <v>1.1311957610146863</v>
      </c>
      <c r="G52" s="32">
        <v>68.34</v>
      </c>
      <c r="H52" s="39">
        <v>492.2</v>
      </c>
      <c r="I52" s="40">
        <v>3112</v>
      </c>
      <c r="J52" s="40">
        <v>111.2</v>
      </c>
      <c r="K52" s="40"/>
      <c r="L52" s="40">
        <v>1451.2</v>
      </c>
      <c r="M52" s="38">
        <v>14.4</v>
      </c>
      <c r="O52" s="18">
        <f t="shared" si="13"/>
        <v>5180.9999999999991</v>
      </c>
      <c r="P52" s="39">
        <f t="shared" si="7"/>
        <v>81429.449999999983</v>
      </c>
      <c r="Q52" s="40">
        <f>+S52-O52</f>
        <v>650.20000000000073</v>
      </c>
      <c r="R52" s="40"/>
      <c r="S52" s="20">
        <v>5831.2</v>
      </c>
      <c r="T52" s="41">
        <f t="shared" si="1"/>
        <v>0.88849636438468915</v>
      </c>
      <c r="U52" s="42"/>
      <c r="V52" s="23">
        <v>3361.6792999999998</v>
      </c>
      <c r="W52" s="26">
        <v>1389.2630999999999</v>
      </c>
      <c r="X52" s="25">
        <f t="shared" si="5"/>
        <v>4750.9423999999999</v>
      </c>
      <c r="Y52" s="26">
        <v>764.92579999999998</v>
      </c>
      <c r="Z52" s="25">
        <f t="shared" si="2"/>
        <v>5515.8681999999999</v>
      </c>
      <c r="AA52" s="33">
        <f>+S52-Z52</f>
        <v>315.33179999999993</v>
      </c>
      <c r="AB52" s="26"/>
      <c r="AC52" s="25">
        <f t="shared" si="11"/>
        <v>315.33179999999993</v>
      </c>
      <c r="AD52" s="11"/>
      <c r="AE52" s="17">
        <f>+V52*F52</f>
        <v>3802.7173740508179</v>
      </c>
      <c r="AF52" s="17">
        <f>+W52*F52</f>
        <v>1571.5285296541222</v>
      </c>
      <c r="AG52" s="17">
        <f>+Y52*F52</f>
        <v>865.28082245076769</v>
      </c>
      <c r="AH52" s="17">
        <f t="shared" si="9"/>
        <v>6596.2287216288387</v>
      </c>
      <c r="AI52" s="11"/>
      <c r="AJ52" s="31">
        <f>+V52/(C52/1000000)</f>
        <v>4817.3465381154092</v>
      </c>
      <c r="AK52" s="31">
        <f>+W52/(C52/1000000)</f>
        <v>1990.8388600056173</v>
      </c>
      <c r="AL52" s="31">
        <f>+Y52/(C52/1000000)</f>
        <v>1096.152346996681</v>
      </c>
      <c r="AM52" s="31">
        <f t="shared" si="10"/>
        <v>8356.2138521240195</v>
      </c>
      <c r="AN52" s="11"/>
      <c r="AO52" s="17">
        <f>+AE52/(C52/1000000)</f>
        <v>5449.3619832549248</v>
      </c>
      <c r="AP52" s="17">
        <f>+AF52/(C52/1000000)</f>
        <v>2252.0284793016649</v>
      </c>
      <c r="AQ52" s="17">
        <f>+AG52/(C52/1000000)</f>
        <v>1239.9628883489452</v>
      </c>
      <c r="AR52" s="17">
        <f>+AH52/(C52/1000000)</f>
        <v>9452.5136876548931</v>
      </c>
    </row>
    <row r="53" spans="1:44" s="29" customFormat="1">
      <c r="A53" s="34" t="s">
        <v>99</v>
      </c>
      <c r="B53" s="29" t="s">
        <v>100</v>
      </c>
      <c r="C53" s="12">
        <v>713865</v>
      </c>
      <c r="D53" s="27">
        <v>195.14400000000001</v>
      </c>
      <c r="E53" s="30">
        <f t="shared" si="8"/>
        <v>1.7731975967957281E-2</v>
      </c>
      <c r="F53" s="28">
        <f t="shared" si="12"/>
        <v>1.1114869019800762</v>
      </c>
      <c r="G53" s="32">
        <v>74.900000000000006</v>
      </c>
      <c r="H53" s="39">
        <v>446.1</v>
      </c>
      <c r="I53" s="39">
        <v>2871</v>
      </c>
      <c r="J53" s="39">
        <v>118.8</v>
      </c>
      <c r="K53" s="39"/>
      <c r="L53" s="39">
        <v>1469</v>
      </c>
      <c r="M53" s="29">
        <v>8</v>
      </c>
      <c r="O53" s="18">
        <f t="shared" si="13"/>
        <v>4912.8999999999996</v>
      </c>
      <c r="P53" s="39">
        <f t="shared" si="7"/>
        <v>86342.349999999977</v>
      </c>
      <c r="Q53" s="40">
        <f>+S53-O53</f>
        <v>600.40000000000055</v>
      </c>
      <c r="R53" s="40"/>
      <c r="S53" s="20">
        <v>5513.3</v>
      </c>
      <c r="T53" s="43">
        <f t="shared" si="1"/>
        <v>0.89109970435129582</v>
      </c>
      <c r="U53" s="22"/>
      <c r="V53" s="23">
        <v>3506.5583999999999</v>
      </c>
      <c r="W53" s="26">
        <v>771.01409999999998</v>
      </c>
      <c r="X53" s="25">
        <f t="shared" si="5"/>
        <v>4277.5725000000002</v>
      </c>
      <c r="Y53" s="26">
        <v>818.03530000000001</v>
      </c>
      <c r="Z53" s="25">
        <f t="shared" si="2"/>
        <v>5095.6077999999998</v>
      </c>
      <c r="AA53" s="33">
        <f>+S53-Z53</f>
        <v>417.69220000000041</v>
      </c>
      <c r="AB53" s="26"/>
      <c r="AC53" s="25">
        <f t="shared" si="11"/>
        <v>417.69220000000041</v>
      </c>
      <c r="AD53" s="11"/>
      <c r="AE53" s="17">
        <f>+V53*F53</f>
        <v>3897.4937326282125</v>
      </c>
      <c r="AF53" s="17">
        <f>+W53*F53</f>
        <v>856.97207339195666</v>
      </c>
      <c r="AG53" s="17">
        <f>+Y53*F53</f>
        <v>909.2355213073422</v>
      </c>
      <c r="AH53" s="17">
        <f t="shared" si="9"/>
        <v>6127.960736686754</v>
      </c>
      <c r="AI53" s="11"/>
      <c r="AJ53" s="31">
        <f>+V53/(C53/1000000)</f>
        <v>4912.0749721586017</v>
      </c>
      <c r="AK53" s="31">
        <f>+W53/(C53/1000000)</f>
        <v>1080.0558929209305</v>
      </c>
      <c r="AL53" s="31">
        <f>+Y53/(C53/1000000)</f>
        <v>1145.9243694536083</v>
      </c>
      <c r="AM53" s="31">
        <f t="shared" si="10"/>
        <v>7723.1689465094951</v>
      </c>
      <c r="AN53" s="11"/>
      <c r="AO53" s="17">
        <f>+AE53/(C53/1000000)</f>
        <v>5459.7069930984326</v>
      </c>
      <c r="AP53" s="17">
        <f>+AF53/(C53/1000000)</f>
        <v>1200.4679783880099</v>
      </c>
      <c r="AQ53" s="17">
        <f>+AG53/(C53/1000000)</f>
        <v>1273.6799273074632</v>
      </c>
      <c r="AR53" s="17">
        <f>+AH53/(C53/1000000)</f>
        <v>8584.2011258245675</v>
      </c>
    </row>
    <row r="54" spans="1:44" s="38" customFormat="1">
      <c r="A54" s="34" t="s">
        <v>101</v>
      </c>
      <c r="B54" s="38" t="s">
        <v>100</v>
      </c>
      <c r="C54" s="12">
        <v>723424</v>
      </c>
      <c r="D54" s="27">
        <v>201.42699999999999</v>
      </c>
      <c r="E54" s="30">
        <f t="shared" si="8"/>
        <v>3.2196736768745016E-2</v>
      </c>
      <c r="F54" s="28">
        <f t="shared" si="12"/>
        <v>1.0768169113376063</v>
      </c>
      <c r="G54" s="32">
        <v>94.49</v>
      </c>
      <c r="H54" s="39">
        <v>542.1</v>
      </c>
      <c r="I54" s="40">
        <v>4552.8999999999996</v>
      </c>
      <c r="J54" s="40">
        <v>110.6</v>
      </c>
      <c r="K54" s="40"/>
      <c r="L54" s="40">
        <v>1821.3</v>
      </c>
      <c r="M54" s="38">
        <v>22</v>
      </c>
      <c r="O54" s="18">
        <f t="shared" si="13"/>
        <v>7048.9000000000005</v>
      </c>
      <c r="P54" s="39">
        <f t="shared" si="7"/>
        <v>93391.249999999971</v>
      </c>
      <c r="Q54" s="40">
        <f>+S54-O54</f>
        <v>623.99999999999909</v>
      </c>
      <c r="R54" s="40"/>
      <c r="S54" s="20">
        <v>7672.9</v>
      </c>
      <c r="T54" s="43">
        <f t="shared" si="1"/>
        <v>0.91867481656218652</v>
      </c>
      <c r="U54" s="42"/>
      <c r="V54" s="23">
        <v>3813.1082000000001</v>
      </c>
      <c r="W54" s="26">
        <v>1052.0849000000001</v>
      </c>
      <c r="X54" s="25">
        <f t="shared" si="5"/>
        <v>4865.1931000000004</v>
      </c>
      <c r="Y54" s="26">
        <v>614.55640000000005</v>
      </c>
      <c r="Z54" s="25">
        <f t="shared" si="2"/>
        <v>5479.7495000000008</v>
      </c>
      <c r="AA54" s="33">
        <f>+S54-Z54</f>
        <v>2193.1504999999988</v>
      </c>
      <c r="AB54" s="26"/>
      <c r="AC54" s="25">
        <f t="shared" si="11"/>
        <v>2193.1504999999988</v>
      </c>
      <c r="AD54" s="11"/>
      <c r="AE54" s="17">
        <f>+V54*F54</f>
        <v>4106.0193945200999</v>
      </c>
      <c r="AF54" s="17">
        <f>+W54*F54</f>
        <v>1132.9028124829345</v>
      </c>
      <c r="AG54" s="17">
        <f>+Y54*F54</f>
        <v>661.76472449075857</v>
      </c>
      <c r="AH54" s="17">
        <f t="shared" si="9"/>
        <v>8262.3084790023186</v>
      </c>
      <c r="AI54" s="11"/>
      <c r="AJ54" s="31">
        <f>+V54/(C54/1000000)</f>
        <v>5270.917470252577</v>
      </c>
      <c r="AK54" s="31">
        <f>+W54/(C54/1000000)</f>
        <v>1454.3129616932811</v>
      </c>
      <c r="AL54" s="31">
        <f>+Y54/(C54/1000000)</f>
        <v>849.51066041491583</v>
      </c>
      <c r="AM54" s="31">
        <f t="shared" si="10"/>
        <v>10606.366390940859</v>
      </c>
      <c r="AN54" s="11"/>
      <c r="AO54" s="17">
        <f>+AE54/(C54/1000000)</f>
        <v>5675.8130702328099</v>
      </c>
      <c r="AP54" s="17">
        <f>+AF54/(C54/1000000)</f>
        <v>1566.0287915288054</v>
      </c>
      <c r="AQ54" s="17">
        <f>+AG54/(C54/1000000)</f>
        <v>914.76744549635987</v>
      </c>
      <c r="AR54" s="17">
        <f>+AH54/(C54/1000000)</f>
        <v>11421.114697607929</v>
      </c>
    </row>
    <row r="55" spans="1:44" s="11" customFormat="1">
      <c r="A55" s="34" t="s">
        <v>102</v>
      </c>
      <c r="B55" s="29" t="s">
        <v>100</v>
      </c>
      <c r="C55" s="12">
        <v>731827</v>
      </c>
      <c r="D55" s="27">
        <v>205.916</v>
      </c>
      <c r="E55" s="30">
        <f t="shared" si="8"/>
        <v>2.2285989465166134E-2</v>
      </c>
      <c r="F55" s="28">
        <f t="shared" si="12"/>
        <v>1.0533421395131997</v>
      </c>
      <c r="G55" s="32">
        <v>112.65</v>
      </c>
      <c r="H55" s="39">
        <v>568.79999999999995</v>
      </c>
      <c r="I55" s="39">
        <v>6146.1</v>
      </c>
      <c r="J55" s="39">
        <v>111.2</v>
      </c>
      <c r="K55" s="39"/>
      <c r="L55" s="39">
        <v>2022.8</v>
      </c>
      <c r="M55" s="29">
        <f>20.4</f>
        <v>20.399999999999999</v>
      </c>
      <c r="N55" s="29"/>
      <c r="O55" s="20">
        <f t="shared" si="13"/>
        <v>8869.2999999999993</v>
      </c>
      <c r="P55" s="39">
        <f t="shared" si="7"/>
        <v>102260.54999999997</v>
      </c>
      <c r="Q55" s="39">
        <f>+S55-O55</f>
        <v>615.90000000000146</v>
      </c>
      <c r="R55" s="39"/>
      <c r="S55" s="20">
        <v>9485.2000000000007</v>
      </c>
      <c r="T55" s="43">
        <f t="shared" si="1"/>
        <v>0.9350672626829164</v>
      </c>
      <c r="U55" s="22"/>
      <c r="V55" s="23">
        <v>4146.3180000000002</v>
      </c>
      <c r="W55" s="26">
        <v>1249.5999999999999</v>
      </c>
      <c r="X55" s="25">
        <f>+V55+W55</f>
        <v>5395.9179999999997</v>
      </c>
      <c r="Y55" s="26">
        <v>1616.7577000000001</v>
      </c>
      <c r="Z55" s="25">
        <f t="shared" si="2"/>
        <v>7012.6756999999998</v>
      </c>
      <c r="AA55" s="33">
        <f>+S55-Z55</f>
        <v>2472.5243000000009</v>
      </c>
      <c r="AB55" s="26"/>
      <c r="AC55" s="25">
        <f t="shared" si="11"/>
        <v>2472.5243000000009</v>
      </c>
      <c r="AE55" s="17">
        <f>+V55*F55</f>
        <v>4367.4914732220914</v>
      </c>
      <c r="AF55" s="17">
        <f>+W55*F55</f>
        <v>1316.2563375356942</v>
      </c>
      <c r="AG55" s="17">
        <f>+Y55*F55</f>
        <v>1702.99901479244</v>
      </c>
      <c r="AH55" s="17">
        <f t="shared" si="9"/>
        <v>9991.1608617106031</v>
      </c>
      <c r="AJ55" s="31">
        <f>+V55/(C55/1000000)</f>
        <v>5665.7078790479172</v>
      </c>
      <c r="AK55" s="31">
        <f>+W55/(C55/1000000)</f>
        <v>1707.5073753769673</v>
      </c>
      <c r="AL55" s="31">
        <f>+Y55/(C55/1000000)</f>
        <v>2209.2075039592692</v>
      </c>
      <c r="AM55" s="31">
        <f t="shared" si="10"/>
        <v>12960.9866812785</v>
      </c>
      <c r="AO55" s="17">
        <f>+AE55/(C55/1000000)</f>
        <v>5967.9288591731265</v>
      </c>
      <c r="AP55" s="17">
        <f>+AF55/(C55/1000000)</f>
        <v>1798.589472014143</v>
      </c>
      <c r="AQ55" s="17">
        <f>+AG55/(C55/1000000)</f>
        <v>2327.0513588490721</v>
      </c>
      <c r="AR55" s="17">
        <f>+AH55/(C55/1000000)</f>
        <v>13652.35344105998</v>
      </c>
    </row>
    <row r="56" spans="1:44" s="11" customFormat="1">
      <c r="A56" s="34" t="s">
        <v>103</v>
      </c>
      <c r="B56" s="29" t="s">
        <v>100</v>
      </c>
      <c r="C56" s="12">
        <v>736399</v>
      </c>
      <c r="D56" s="27">
        <v>212.381</v>
      </c>
      <c r="E56" s="30">
        <f>+D56/D55-1</f>
        <v>3.1396297519376892E-2</v>
      </c>
      <c r="F56" s="28">
        <f t="shared" si="12"/>
        <v>1.0212777979197762</v>
      </c>
      <c r="G56" s="32">
        <v>108.67</v>
      </c>
      <c r="H56" s="39">
        <v>434.6</v>
      </c>
      <c r="I56" s="39">
        <v>4050.3</v>
      </c>
      <c r="J56" s="39">
        <v>99.3</v>
      </c>
      <c r="K56" s="39"/>
      <c r="L56" s="39">
        <v>1748.4</v>
      </c>
      <c r="M56" s="39">
        <v>19.399999999999999</v>
      </c>
      <c r="N56" s="39"/>
      <c r="O56" s="20">
        <v>6352</v>
      </c>
      <c r="P56" s="39">
        <f>$P55+O56</f>
        <v>108612.54999999997</v>
      </c>
      <c r="Q56" s="29">
        <v>576.5</v>
      </c>
      <c r="R56" s="29"/>
      <c r="S56" s="20">
        <f>+O56+Q56+R56</f>
        <v>6928.5</v>
      </c>
      <c r="T56" s="43">
        <f t="shared" si="1"/>
        <v>0.91679295662841886</v>
      </c>
      <c r="U56" s="22"/>
      <c r="V56" s="26">
        <v>4308.3</v>
      </c>
      <c r="W56" s="26">
        <v>1402.9</v>
      </c>
      <c r="X56" s="25">
        <f t="shared" si="5"/>
        <v>5711.2000000000007</v>
      </c>
      <c r="Y56" s="26">
        <v>2071.5</v>
      </c>
      <c r="Z56" s="25">
        <f>+X56+Y56</f>
        <v>7782.7000000000007</v>
      </c>
      <c r="AA56" s="33">
        <v>187.1</v>
      </c>
      <c r="AB56" s="26">
        <f>+S56-Z56-AA56</f>
        <v>-1041.3000000000006</v>
      </c>
      <c r="AC56" s="25">
        <f t="shared" si="11"/>
        <v>-854.20000000000061</v>
      </c>
      <c r="AE56" s="17">
        <f>+V56*F56</f>
        <v>4399.9711367777718</v>
      </c>
      <c r="AF56" s="17">
        <f>+W56*F56</f>
        <v>1432.7506227016543</v>
      </c>
      <c r="AG56" s="17">
        <f>+Y56*F56</f>
        <v>2115.5769583908163</v>
      </c>
      <c r="AH56" s="17">
        <f t="shared" si="9"/>
        <v>7075.9232228871697</v>
      </c>
      <c r="AJ56" s="31">
        <f>+V56/(C56/1000000)</f>
        <v>5850.4968094742117</v>
      </c>
      <c r="AK56" s="31">
        <f>+W56/(C56/1000000)</f>
        <v>1905.0813485623962</v>
      </c>
      <c r="AL56" s="31">
        <f>+Y56/(C56/1000000)</f>
        <v>2813.0130540644404</v>
      </c>
      <c r="AM56" s="31">
        <f t="shared" si="10"/>
        <v>9408.6222278954756</v>
      </c>
      <c r="AO56" s="17">
        <f>+AE56/(C56/1000000)</f>
        <v>5974.982498316499</v>
      </c>
      <c r="AP56" s="17">
        <f>+AF56/(C56/1000000)</f>
        <v>1945.6172845178419</v>
      </c>
      <c r="AQ56" s="17">
        <f>+AG56/(C56/1000000)</f>
        <v>2872.8677773745162</v>
      </c>
      <c r="AR56" s="17">
        <f>+AH56/(C56/1000000)</f>
        <v>9608.8169903641501</v>
      </c>
    </row>
    <row r="57" spans="1:44" s="11" customFormat="1">
      <c r="A57" s="34" t="s">
        <v>104</v>
      </c>
      <c r="B57" s="29" t="s">
        <v>100</v>
      </c>
      <c r="C57" s="12">
        <v>747668</v>
      </c>
      <c r="D57" s="27">
        <v>215.8</v>
      </c>
      <c r="E57" s="30">
        <f t="shared" si="8"/>
        <v>1.609842688376073E-2</v>
      </c>
      <c r="F57" s="28">
        <f t="shared" si="12"/>
        <v>1.0050973123262279</v>
      </c>
      <c r="G57" s="32">
        <v>105.68</v>
      </c>
      <c r="H57" s="39">
        <v>307.60000000000002</v>
      </c>
      <c r="I57" s="39">
        <v>2614.6999999999998</v>
      </c>
      <c r="J57" s="39">
        <v>128.1</v>
      </c>
      <c r="K57" s="39"/>
      <c r="L57" s="39">
        <v>1685</v>
      </c>
      <c r="M57" s="39">
        <v>27.4</v>
      </c>
      <c r="N57" s="39"/>
      <c r="O57" s="20">
        <v>4755.3</v>
      </c>
      <c r="P57" s="39">
        <f>$P56+O57</f>
        <v>113367.84999999998</v>
      </c>
      <c r="Q57" s="29">
        <v>638.70000000000005</v>
      </c>
      <c r="R57" s="29">
        <v>34.9</v>
      </c>
      <c r="S57" s="20">
        <f>+O57+Q57+R57</f>
        <v>5428.9</v>
      </c>
      <c r="T57" s="43">
        <f t="shared" si="1"/>
        <v>0.87592329937924818</v>
      </c>
      <c r="U57" s="22"/>
      <c r="V57" s="26">
        <v>4394.2</v>
      </c>
      <c r="W57" s="26">
        <v>2044.6</v>
      </c>
      <c r="X57" s="25">
        <f t="shared" si="5"/>
        <v>6438.7999999999993</v>
      </c>
      <c r="Y57" s="26">
        <v>880.4</v>
      </c>
      <c r="Z57" s="25">
        <f>+X57+Y57</f>
        <v>7319.1999999999989</v>
      </c>
      <c r="AA57" s="33">
        <v>-266.3</v>
      </c>
      <c r="AB57" s="26">
        <f>+S57-Z57-AA57</f>
        <v>-1623.9999999999993</v>
      </c>
      <c r="AC57" s="25">
        <f t="shared" si="11"/>
        <v>-1890.2999999999993</v>
      </c>
      <c r="AD57" s="44"/>
      <c r="AE57" s="17">
        <f>+V57*F57</f>
        <v>4416.59860982391</v>
      </c>
      <c r="AF57" s="17">
        <f>+W57*F57</f>
        <v>2055.0219647822055</v>
      </c>
      <c r="AG57" s="17">
        <f>+Y57*F57</f>
        <v>884.887673772011</v>
      </c>
      <c r="AH57" s="17">
        <f t="shared" si="9"/>
        <v>5456.572798887858</v>
      </c>
      <c r="AJ57" s="31">
        <f>+V57/(C57/1000000)</f>
        <v>5877.2075306151928</v>
      </c>
      <c r="AK57" s="31">
        <f>+W57/(C57/1000000)</f>
        <v>2734.6362289144377</v>
      </c>
      <c r="AL57" s="31">
        <f>+Y57/(C57/1000000)</f>
        <v>1177.5279937084374</v>
      </c>
      <c r="AM57" s="31">
        <f t="shared" si="10"/>
        <v>7261.1105463922486</v>
      </c>
      <c r="AO57" s="17">
        <f>+AE57/(C57/1000000)</f>
        <v>5907.1654930047962</v>
      </c>
      <c r="AP57" s="17">
        <f>+AF57/(C57/1000000)</f>
        <v>2748.575523871833</v>
      </c>
      <c r="AQ57" s="17">
        <f>+AG57/(C57/1000000)</f>
        <v>1183.5302216652458</v>
      </c>
      <c r="AR57" s="17">
        <f>+AH57/(C57/1000000)</f>
        <v>7298.1226946824763</v>
      </c>
    </row>
    <row r="58" spans="1:44" s="63" customFormat="1">
      <c r="A58" s="45" t="s">
        <v>105</v>
      </c>
      <c r="B58" s="46" t="s">
        <v>100</v>
      </c>
      <c r="C58" s="47">
        <v>755310</v>
      </c>
      <c r="D58" s="48">
        <v>216.9</v>
      </c>
      <c r="E58" s="49">
        <f t="shared" si="8"/>
        <v>5.0973123262278985E-3</v>
      </c>
      <c r="F58" s="50">
        <f>+$D$58/D58</f>
        <v>1</v>
      </c>
      <c r="G58" s="51">
        <v>76.31</v>
      </c>
      <c r="H58" s="52">
        <v>94.8</v>
      </c>
      <c r="I58" s="52">
        <v>389.7</v>
      </c>
      <c r="J58" s="52">
        <v>125.2</v>
      </c>
      <c r="K58" s="52"/>
      <c r="L58" s="52">
        <v>1052</v>
      </c>
      <c r="M58" s="52">
        <v>26.1</v>
      </c>
      <c r="N58" s="52"/>
      <c r="O58" s="53">
        <v>1659.6</v>
      </c>
      <c r="P58" s="52">
        <f t="shared" ref="P58:P68" si="14">$P57+O58</f>
        <v>115027.44999999998</v>
      </c>
      <c r="Q58" s="54">
        <v>556.70000000000005</v>
      </c>
      <c r="R58" s="46">
        <v>71.099999999999994</v>
      </c>
      <c r="S58" s="53">
        <f t="shared" ref="S58" si="15">+O58+Q58+R58</f>
        <v>2287.4</v>
      </c>
      <c r="T58" s="55">
        <f t="shared" si="1"/>
        <v>0.72553991431319398</v>
      </c>
      <c r="U58" s="56"/>
      <c r="V58" s="57">
        <v>4475.8</v>
      </c>
      <c r="W58" s="58">
        <v>926.4</v>
      </c>
      <c r="X58" s="59">
        <f t="shared" si="5"/>
        <v>5402.2</v>
      </c>
      <c r="Y58" s="58">
        <v>611.4</v>
      </c>
      <c r="Z58" s="59">
        <f t="shared" si="2"/>
        <v>6013.5999999999995</v>
      </c>
      <c r="AA58" s="60">
        <v>-1008.3</v>
      </c>
      <c r="AB58" s="60">
        <f>+S58-Z58-AA58</f>
        <v>-2717.8999999999996</v>
      </c>
      <c r="AC58" s="59">
        <f>+AA58+AB58</f>
        <v>-3726.2</v>
      </c>
      <c r="AD58" s="61"/>
      <c r="AE58" s="62">
        <f>+V58*F58</f>
        <v>4475.8</v>
      </c>
      <c r="AF58" s="62">
        <f>+W58*F58</f>
        <v>926.4</v>
      </c>
      <c r="AG58" s="62">
        <f>+Y58*F58</f>
        <v>611.4</v>
      </c>
      <c r="AH58" s="62">
        <f t="shared" si="9"/>
        <v>2287.4</v>
      </c>
      <c r="AJ58" s="64">
        <f>+V58/(C58/1000000)</f>
        <v>5925.778819292741</v>
      </c>
      <c r="AK58" s="64">
        <f>+W58/(C58/1000000)</f>
        <v>1226.5162648448979</v>
      </c>
      <c r="AL58" s="64">
        <f>+Y58/(C58/1000000)</f>
        <v>809.46895976486474</v>
      </c>
      <c r="AM58" s="64">
        <f t="shared" si="10"/>
        <v>3028.4254147303755</v>
      </c>
      <c r="AO58" s="62">
        <f>+AE58/(C58/1000000)</f>
        <v>5925.778819292741</v>
      </c>
      <c r="AP58" s="62">
        <f>+AF58/(C58/1000000)</f>
        <v>1226.5162648448979</v>
      </c>
      <c r="AQ58" s="62">
        <f>+AG58/(C58/1000000)</f>
        <v>809.46895976486474</v>
      </c>
      <c r="AR58" s="62">
        <f>+AH58/(C58/1000000)</f>
        <v>3028.4254147303755</v>
      </c>
    </row>
    <row r="59" spans="1:44">
      <c r="A59" s="34" t="s">
        <v>106</v>
      </c>
      <c r="B59" s="38" t="s">
        <v>107</v>
      </c>
      <c r="C59" s="12">
        <v>762902</v>
      </c>
      <c r="D59" s="65">
        <f t="shared" ref="D59:D60" si="16">+D58*(1+E59)</f>
        <v>221.78025</v>
      </c>
      <c r="E59" s="66">
        <v>2.2499999999999999E-2</v>
      </c>
      <c r="F59" s="67">
        <f>+$D$58/D59</f>
        <v>0.97799511002444994</v>
      </c>
      <c r="G59" s="68">
        <v>39.99</v>
      </c>
      <c r="H59" s="68">
        <v>0</v>
      </c>
      <c r="I59" s="68">
        <f>144.8+8.6</f>
        <v>153.4</v>
      </c>
      <c r="J59" s="68">
        <v>133.9</v>
      </c>
      <c r="K59" s="68"/>
      <c r="L59" s="68">
        <v>501</v>
      </c>
      <c r="M59" s="68">
        <v>12.9</v>
      </c>
      <c r="N59" s="40"/>
      <c r="O59" s="69">
        <v>801.1</v>
      </c>
      <c r="P59" s="68">
        <f t="shared" si="14"/>
        <v>115828.54999999999</v>
      </c>
      <c r="Q59" s="70">
        <f>+S59-O59</f>
        <v>491.70000000000016</v>
      </c>
      <c r="R59" s="71">
        <f>16.5-60.6</f>
        <v>-44.1</v>
      </c>
      <c r="S59" s="72">
        <f>1336.9+R59</f>
        <v>1292.8000000000002</v>
      </c>
      <c r="T59" s="43">
        <f t="shared" si="1"/>
        <v>0.61966274752475237</v>
      </c>
      <c r="V59" s="73">
        <v>4171.8</v>
      </c>
      <c r="W59" s="74">
        <v>1140.0999999999999</v>
      </c>
      <c r="X59" s="75">
        <f t="shared" si="5"/>
        <v>5311.9</v>
      </c>
      <c r="Y59" s="74">
        <v>127.6</v>
      </c>
      <c r="Z59" s="75">
        <f t="shared" si="2"/>
        <v>5439.5</v>
      </c>
      <c r="AA59" s="76">
        <v>-226.1</v>
      </c>
      <c r="AB59" s="76">
        <f>+S59-AA59-Z59</f>
        <v>-3920.6</v>
      </c>
      <c r="AC59" s="75">
        <f>+AA59+AB59</f>
        <v>-4146.7</v>
      </c>
      <c r="AD59" s="77"/>
      <c r="AE59" s="17">
        <f>+V59*F59</f>
        <v>4080.0000000000005</v>
      </c>
      <c r="AF59" s="17">
        <f>+W59*F59</f>
        <v>1115.0122249388753</v>
      </c>
      <c r="AG59" s="17">
        <f>+Y59*F59</f>
        <v>124.79217603911981</v>
      </c>
      <c r="AH59" s="17">
        <f t="shared" si="9"/>
        <v>1264.352078239609</v>
      </c>
      <c r="AI59" s="11"/>
      <c r="AJ59" s="31">
        <f>+V59/(C59/1000000)</f>
        <v>5468.3301393888078</v>
      </c>
      <c r="AK59" s="31">
        <f>+W59/(C59/1000000)</f>
        <v>1494.4252341716235</v>
      </c>
      <c r="AL59" s="31">
        <f>+Y59/(C59/1000000)</f>
        <v>167.25608269476288</v>
      </c>
      <c r="AM59" s="31">
        <f t="shared" si="10"/>
        <v>1694.5820039795417</v>
      </c>
      <c r="AN59" s="11"/>
      <c r="AO59" s="17">
        <f>+AE59/(C59/1000000)</f>
        <v>5348.0001363215733</v>
      </c>
      <c r="AP59" s="17">
        <f>+AF59/(C59/1000000)</f>
        <v>1461.5405713169914</v>
      </c>
      <c r="AQ59" s="17">
        <f>+AG59/(C59/1000000)</f>
        <v>163.57563099732315</v>
      </c>
      <c r="AR59" s="17">
        <f>+AH59/(C59/1000000)</f>
        <v>1657.2929134274245</v>
      </c>
    </row>
    <row r="60" spans="1:44">
      <c r="A60" s="34" t="s">
        <v>108</v>
      </c>
      <c r="B60" s="38" t="s">
        <v>107</v>
      </c>
      <c r="C60" s="12">
        <v>770417</v>
      </c>
      <c r="D60" s="65">
        <f t="shared" si="16"/>
        <v>226.77030562499999</v>
      </c>
      <c r="E60" s="66">
        <v>2.2499999999999999E-2</v>
      </c>
      <c r="F60" s="67">
        <f>+$D$58/D60</f>
        <v>0.95647443523173592</v>
      </c>
      <c r="G60" s="68">
        <v>38.89</v>
      </c>
      <c r="H60" s="68">
        <v>30</v>
      </c>
      <c r="I60" s="68">
        <f>59.4+8.4</f>
        <v>67.8</v>
      </c>
      <c r="J60" s="68">
        <v>118.3</v>
      </c>
      <c r="K60" s="68"/>
      <c r="L60" s="68">
        <v>475.6</v>
      </c>
      <c r="M60" s="68">
        <v>12.9</v>
      </c>
      <c r="N60" s="40"/>
      <c r="O60" s="69">
        <v>704.7</v>
      </c>
      <c r="P60" s="68">
        <f t="shared" si="14"/>
        <v>116533.24999999999</v>
      </c>
      <c r="Q60" s="70">
        <f t="shared" ref="Q60:Q68" si="17">+S60-O60</f>
        <v>481.79999999999995</v>
      </c>
      <c r="R60" s="71">
        <v>-59.9</v>
      </c>
      <c r="S60" s="72">
        <f>1246.4+R60</f>
        <v>1186.5</v>
      </c>
      <c r="T60" s="43">
        <f t="shared" si="1"/>
        <v>0.5939317319848294</v>
      </c>
      <c r="V60" s="73">
        <v>3863.7</v>
      </c>
      <c r="W60" s="73">
        <v>348.4</v>
      </c>
      <c r="X60" s="75">
        <f t="shared" si="5"/>
        <v>4212.0999999999995</v>
      </c>
      <c r="Y60" s="74">
        <v>96.1</v>
      </c>
      <c r="Z60" s="75">
        <f t="shared" si="2"/>
        <v>4308.2</v>
      </c>
      <c r="AA60" s="76">
        <v>46.8</v>
      </c>
      <c r="AB60" s="76">
        <f>+S60-AA60-Z60</f>
        <v>-3168.5</v>
      </c>
      <c r="AC60" s="75">
        <f t="shared" ref="AC60:AC65" si="18">+AA60+AB60</f>
        <v>-3121.7</v>
      </c>
      <c r="AD60" s="79"/>
      <c r="AE60" s="17">
        <f>+V60*F60</f>
        <v>3695.530275404858</v>
      </c>
      <c r="AF60" s="17">
        <f>+W60*F60</f>
        <v>333.2356932347368</v>
      </c>
      <c r="AG60" s="17">
        <f>+Y60*F60</f>
        <v>91.917193225769822</v>
      </c>
      <c r="AH60" s="17">
        <f t="shared" si="9"/>
        <v>1134.8569174024547</v>
      </c>
      <c r="AI60" s="11"/>
      <c r="AJ60" s="31">
        <f>+V60/(C60/1000000)</f>
        <v>5015.0762509134656</v>
      </c>
      <c r="AK60" s="31">
        <f>+W60/(C60/1000000)</f>
        <v>452.22262748615356</v>
      </c>
      <c r="AL60" s="31">
        <f>+Y60/(C60/1000000)</f>
        <v>124.73764208214511</v>
      </c>
      <c r="AM60" s="31">
        <f t="shared" si="10"/>
        <v>1540.0750502649864</v>
      </c>
      <c r="AN60" s="11"/>
      <c r="AO60" s="17">
        <f>+AE60/(C60/1000000)</f>
        <v>4796.7922247365486</v>
      </c>
      <c r="AP60" s="17">
        <f>+AF60/(C60/1000000)</f>
        <v>432.53938222383044</v>
      </c>
      <c r="AQ60" s="17">
        <f>+AG60/(C60/1000000)</f>
        <v>119.30836576265817</v>
      </c>
      <c r="AR60" s="17">
        <f>+AH60/(C60/1000000)</f>
        <v>1473.0424139166901</v>
      </c>
    </row>
    <row r="61" spans="1:44">
      <c r="A61" s="34" t="s">
        <v>109</v>
      </c>
      <c r="B61" s="38" t="s">
        <v>107</v>
      </c>
      <c r="C61" s="12">
        <v>777858</v>
      </c>
      <c r="G61" s="68">
        <v>43.79</v>
      </c>
      <c r="H61" s="68">
        <v>105</v>
      </c>
      <c r="I61" s="68">
        <f>15.7+8.2</f>
        <v>23.9</v>
      </c>
      <c r="J61" s="68">
        <v>118.5</v>
      </c>
      <c r="K61" s="68"/>
      <c r="L61" s="68">
        <v>527.29999999999995</v>
      </c>
      <c r="M61" s="68">
        <v>12.9</v>
      </c>
      <c r="N61" s="40"/>
      <c r="O61" s="69">
        <v>787.5</v>
      </c>
      <c r="P61" s="68">
        <f t="shared" si="14"/>
        <v>117320.74999999999</v>
      </c>
      <c r="Q61" s="70">
        <f t="shared" si="17"/>
        <v>558.79999999999995</v>
      </c>
      <c r="R61" s="71"/>
      <c r="S61" s="72">
        <v>1346.3</v>
      </c>
      <c r="T61" s="43">
        <f t="shared" si="1"/>
        <v>0.58493649260937386</v>
      </c>
      <c r="V61" s="83"/>
      <c r="W61" s="83"/>
      <c r="X61" s="20"/>
      <c r="Y61" s="24"/>
      <c r="Z61" s="20"/>
      <c r="AB61" s="40"/>
      <c r="AC61" s="20"/>
      <c r="AD61" s="38"/>
      <c r="AH61" s="84">
        <f>+S61</f>
        <v>1346.3</v>
      </c>
      <c r="AI61" s="11"/>
      <c r="AJ61" s="11"/>
      <c r="AK61" s="11"/>
      <c r="AL61" s="11"/>
      <c r="AM61" s="11"/>
      <c r="AN61" s="11"/>
      <c r="AR61" s="39">
        <f>+AH61/(C61/1000000)</f>
        <v>1730.7786254046366</v>
      </c>
    </row>
    <row r="62" spans="1:44">
      <c r="A62" s="34" t="s">
        <v>110</v>
      </c>
      <c r="B62" s="38" t="s">
        <v>107</v>
      </c>
      <c r="C62" s="12">
        <v>785192</v>
      </c>
      <c r="G62" s="68">
        <v>48.89</v>
      </c>
      <c r="H62" s="68">
        <v>135</v>
      </c>
      <c r="I62" s="68">
        <f>10.7+8.1</f>
        <v>18.799999999999997</v>
      </c>
      <c r="J62" s="68">
        <v>117.3</v>
      </c>
      <c r="K62" s="68"/>
      <c r="L62" s="68">
        <v>588.70000000000005</v>
      </c>
      <c r="M62" s="68">
        <v>12.9</v>
      </c>
      <c r="N62" s="40"/>
      <c r="O62" s="69">
        <v>872.7</v>
      </c>
      <c r="P62" s="68">
        <f t="shared" si="14"/>
        <v>118193.44999999998</v>
      </c>
      <c r="Q62" s="70">
        <f t="shared" si="17"/>
        <v>573.20000000000005</v>
      </c>
      <c r="R62" s="71"/>
      <c r="S62" s="72">
        <v>1445.9</v>
      </c>
      <c r="T62" s="43">
        <f t="shared" si="1"/>
        <v>0.60356871152915137</v>
      </c>
      <c r="V62" s="83"/>
      <c r="W62" s="83"/>
      <c r="X62" s="20"/>
      <c r="Y62" s="24"/>
      <c r="Z62" s="20"/>
      <c r="AB62" s="40"/>
      <c r="AC62" s="20"/>
      <c r="AD62" s="38"/>
      <c r="AH62" s="84">
        <f t="shared" ref="AH62:AH68" si="19">+S62</f>
        <v>1445.9</v>
      </c>
      <c r="AI62" s="11"/>
      <c r="AJ62" s="11"/>
      <c r="AK62" s="11"/>
      <c r="AL62" s="11"/>
      <c r="AM62" s="11"/>
      <c r="AN62" s="11"/>
    </row>
    <row r="63" spans="1:44">
      <c r="A63" s="34" t="s">
        <v>111</v>
      </c>
      <c r="C63" s="12">
        <v>792431</v>
      </c>
      <c r="G63" s="68">
        <v>54.48</v>
      </c>
      <c r="H63" s="68">
        <v>165</v>
      </c>
      <c r="I63" s="68">
        <f>12.5+7.7</f>
        <v>20.2</v>
      </c>
      <c r="J63" s="68">
        <v>116.5</v>
      </c>
      <c r="K63" s="68"/>
      <c r="L63" s="68">
        <v>624.4</v>
      </c>
      <c r="M63" s="68">
        <v>12.9</v>
      </c>
      <c r="N63" s="40"/>
      <c r="O63" s="69">
        <v>938.9</v>
      </c>
      <c r="P63" s="68">
        <f t="shared" si="14"/>
        <v>119132.34999999998</v>
      </c>
      <c r="Q63" s="70">
        <f t="shared" si="17"/>
        <v>583.69999999999993</v>
      </c>
      <c r="R63" s="71"/>
      <c r="S63" s="72">
        <v>1522.6</v>
      </c>
      <c r="T63" s="43">
        <f t="shared" si="1"/>
        <v>0.61664258505188496</v>
      </c>
      <c r="V63" s="83"/>
      <c r="W63" s="83"/>
      <c r="X63" s="20"/>
      <c r="Y63" s="24"/>
      <c r="Z63" s="20"/>
      <c r="AB63" s="40"/>
      <c r="AC63" s="20"/>
      <c r="AD63" s="38"/>
      <c r="AH63" s="84">
        <f t="shared" si="19"/>
        <v>1522.6</v>
      </c>
      <c r="AI63" s="11"/>
      <c r="AJ63" s="11"/>
      <c r="AK63" s="11"/>
      <c r="AL63" s="11"/>
      <c r="AM63" s="11"/>
      <c r="AN63" s="11"/>
    </row>
    <row r="64" spans="1:44">
      <c r="A64" s="34" t="s">
        <v>112</v>
      </c>
      <c r="C64" s="12">
        <v>799521</v>
      </c>
      <c r="G64" s="68">
        <v>60.29</v>
      </c>
      <c r="H64" s="68">
        <v>195</v>
      </c>
      <c r="I64" s="68">
        <f>32.5+7</f>
        <v>39.5</v>
      </c>
      <c r="J64" s="68">
        <v>114.9</v>
      </c>
      <c r="K64" s="68"/>
      <c r="L64" s="68">
        <v>645.1</v>
      </c>
      <c r="M64" s="68">
        <v>12.9</v>
      </c>
      <c r="N64" s="40"/>
      <c r="O64" s="69">
        <v>1007.5</v>
      </c>
      <c r="P64" s="68">
        <f t="shared" si="14"/>
        <v>120139.84999999998</v>
      </c>
      <c r="Q64" s="70">
        <f t="shared" si="17"/>
        <v>598</v>
      </c>
      <c r="R64" s="71"/>
      <c r="S64" s="72">
        <v>1605.5</v>
      </c>
      <c r="T64" s="43">
        <f t="shared" si="1"/>
        <v>0.62753036437246967</v>
      </c>
      <c r="V64" s="83"/>
      <c r="W64" s="83"/>
      <c r="X64" s="20"/>
      <c r="Y64" s="24"/>
      <c r="Z64" s="20"/>
      <c r="AB64" s="40"/>
      <c r="AC64" s="20"/>
      <c r="AH64" s="84">
        <f t="shared" si="19"/>
        <v>1605.5</v>
      </c>
      <c r="AI64" s="11"/>
      <c r="AJ64" s="11"/>
      <c r="AK64" s="11"/>
      <c r="AL64" s="11"/>
      <c r="AM64" s="11"/>
      <c r="AN64" s="11"/>
    </row>
    <row r="65" spans="1:40">
      <c r="A65" s="34" t="s">
        <v>113</v>
      </c>
      <c r="C65" s="12">
        <v>806479</v>
      </c>
      <c r="G65" s="68">
        <v>61.64</v>
      </c>
      <c r="H65" s="68">
        <v>190</v>
      </c>
      <c r="I65" s="68">
        <f>109.9+6.5</f>
        <v>116.4</v>
      </c>
      <c r="J65" s="68">
        <v>113.2</v>
      </c>
      <c r="K65" s="68"/>
      <c r="L65" s="68">
        <v>609.5</v>
      </c>
      <c r="M65" s="68">
        <v>12.9</v>
      </c>
      <c r="N65" s="40"/>
      <c r="O65" s="69">
        <v>1042</v>
      </c>
      <c r="P65" s="68">
        <f t="shared" si="14"/>
        <v>121181.84999999998</v>
      </c>
      <c r="Q65" s="70">
        <f t="shared" si="17"/>
        <v>609.5</v>
      </c>
      <c r="R65" s="71"/>
      <c r="S65" s="72">
        <v>1651.5</v>
      </c>
      <c r="T65" s="43">
        <f t="shared" si="1"/>
        <v>0.63094156827126857</v>
      </c>
      <c r="V65" s="83"/>
      <c r="W65" s="83"/>
      <c r="X65" s="20"/>
      <c r="Y65" s="24"/>
      <c r="Z65" s="20"/>
      <c r="AB65" s="40"/>
      <c r="AC65" s="20"/>
      <c r="AH65" s="84">
        <f t="shared" si="19"/>
        <v>1651.5</v>
      </c>
      <c r="AI65" s="11"/>
      <c r="AJ65" s="11"/>
      <c r="AK65" s="11"/>
      <c r="AL65" s="11"/>
      <c r="AM65" s="11"/>
      <c r="AN65" s="11"/>
    </row>
    <row r="66" spans="1:40">
      <c r="A66" s="34" t="s">
        <v>114</v>
      </c>
      <c r="C66" s="12">
        <v>813298</v>
      </c>
      <c r="G66" s="68">
        <v>63.03</v>
      </c>
      <c r="H66" s="68">
        <v>185</v>
      </c>
      <c r="I66" s="68">
        <f>217.3+6</f>
        <v>223.3</v>
      </c>
      <c r="J66" s="68">
        <v>111.4</v>
      </c>
      <c r="K66" s="68"/>
      <c r="L66" s="68">
        <v>573.4</v>
      </c>
      <c r="M66" s="68">
        <v>12.9</v>
      </c>
      <c r="N66" s="40"/>
      <c r="O66" s="69">
        <v>1105.9000000000001</v>
      </c>
      <c r="P66" s="68">
        <f t="shared" si="14"/>
        <v>122287.74999999997</v>
      </c>
      <c r="Q66" s="70">
        <f t="shared" si="17"/>
        <v>627.79999999999995</v>
      </c>
      <c r="R66" s="71"/>
      <c r="S66" s="72">
        <v>1733.7</v>
      </c>
      <c r="T66" s="43">
        <f>O66/S66</f>
        <v>0.63788429370710042</v>
      </c>
      <c r="V66" s="83"/>
      <c r="W66" s="83"/>
      <c r="X66" s="20"/>
      <c r="Y66" s="24"/>
      <c r="Z66" s="20"/>
      <c r="AB66" s="40"/>
      <c r="AC66" s="20"/>
      <c r="AH66" s="84">
        <f t="shared" si="19"/>
        <v>1733.7</v>
      </c>
      <c r="AI66" s="11"/>
      <c r="AJ66" s="11"/>
      <c r="AK66" s="11"/>
      <c r="AL66" s="11"/>
      <c r="AM66" s="11"/>
      <c r="AN66" s="11"/>
    </row>
    <row r="67" spans="1:40">
      <c r="A67" s="34" t="s">
        <v>115</v>
      </c>
      <c r="G67" s="68">
        <v>64.45</v>
      </c>
      <c r="H67" s="68">
        <v>180</v>
      </c>
      <c r="I67" s="68">
        <f>212+5.5</f>
        <v>217.5</v>
      </c>
      <c r="J67" s="68">
        <v>109.4</v>
      </c>
      <c r="K67" s="68"/>
      <c r="L67" s="68">
        <v>536.9</v>
      </c>
      <c r="M67" s="68">
        <v>12.9</v>
      </c>
      <c r="N67" s="40"/>
      <c r="O67" s="69">
        <v>1056.7</v>
      </c>
      <c r="P67" s="68">
        <f t="shared" si="14"/>
        <v>123344.44999999997</v>
      </c>
      <c r="Q67" s="70">
        <f t="shared" si="17"/>
        <v>642.59999999999991</v>
      </c>
      <c r="R67" s="71"/>
      <c r="S67" s="72">
        <v>1699.3</v>
      </c>
      <c r="T67" s="43">
        <f>O67/S67</f>
        <v>0.62184428882481024</v>
      </c>
      <c r="V67" s="83"/>
      <c r="W67" s="83"/>
      <c r="X67" s="20"/>
      <c r="Y67" s="24"/>
      <c r="Z67" s="20"/>
      <c r="AB67" s="40"/>
      <c r="AC67" s="20"/>
      <c r="AH67" s="84">
        <f t="shared" si="19"/>
        <v>1699.3</v>
      </c>
      <c r="AI67" s="11"/>
      <c r="AJ67" s="11"/>
      <c r="AK67" s="11"/>
      <c r="AL67" s="11"/>
      <c r="AM67" s="11"/>
      <c r="AN67" s="11"/>
    </row>
    <row r="68" spans="1:40">
      <c r="A68" s="34" t="s">
        <v>116</v>
      </c>
      <c r="G68" s="68">
        <v>65.900000000000006</v>
      </c>
      <c r="H68" s="68">
        <v>175</v>
      </c>
      <c r="I68" s="68">
        <f>275+5</f>
        <v>280</v>
      </c>
      <c r="J68" s="68">
        <v>107.4</v>
      </c>
      <c r="K68" s="68"/>
      <c r="L68" s="68">
        <v>500.9</v>
      </c>
      <c r="M68" s="68">
        <v>12.9</v>
      </c>
      <c r="N68" s="40"/>
      <c r="O68" s="72">
        <v>1076.4000000000001</v>
      </c>
      <c r="P68" s="68">
        <f t="shared" si="14"/>
        <v>124420.84999999996</v>
      </c>
      <c r="Q68" s="70">
        <f t="shared" si="17"/>
        <v>657.69999999999982</v>
      </c>
      <c r="R68" s="71"/>
      <c r="S68" s="72">
        <v>1734.1</v>
      </c>
      <c r="T68" s="43">
        <f>O68/S68</f>
        <v>0.62072544835937959</v>
      </c>
      <c r="V68" s="83"/>
      <c r="W68" s="83"/>
      <c r="X68" s="20"/>
      <c r="Y68" s="24"/>
      <c r="Z68" s="20"/>
      <c r="AB68" s="40"/>
      <c r="AC68" s="20"/>
      <c r="AH68" s="84">
        <f t="shared" si="19"/>
        <v>1734.1</v>
      </c>
      <c r="AI68" s="11"/>
      <c r="AJ68" s="11"/>
      <c r="AK68" s="11"/>
      <c r="AL68" s="11"/>
      <c r="AM68" s="11"/>
      <c r="AN68" s="11"/>
    </row>
    <row r="69" spans="1:40">
      <c r="G69" s="38"/>
      <c r="Y69" s="90"/>
      <c r="Z69" s="89"/>
      <c r="AH69" s="84"/>
      <c r="AI69" s="11"/>
      <c r="AJ69" s="11"/>
      <c r="AK69" s="11"/>
      <c r="AL69" s="11"/>
      <c r="AM69" s="11"/>
      <c r="AN69" s="11"/>
    </row>
    <row r="70" spans="1:40">
      <c r="G70" s="38"/>
      <c r="V70" s="91"/>
      <c r="Y70" s="92"/>
      <c r="Z70" s="89"/>
      <c r="AH70" s="84"/>
      <c r="AI70" s="11"/>
      <c r="AJ70" s="11"/>
      <c r="AK70" s="11"/>
      <c r="AL70" s="11"/>
      <c r="AM70" s="11"/>
      <c r="AN70" s="11"/>
    </row>
    <row r="71" spans="1:40">
      <c r="G71" s="38"/>
      <c r="V71" s="93"/>
      <c r="Z71" s="24"/>
    </row>
    <row r="72" spans="1:40">
      <c r="G72" s="38"/>
      <c r="O72" s="94" t="s">
        <v>117</v>
      </c>
      <c r="P72" s="71"/>
      <c r="V72" s="95"/>
      <c r="Z72" s="24"/>
    </row>
    <row r="73" spans="1:40">
      <c r="G73" s="38"/>
      <c r="K73" s="96"/>
      <c r="V73" s="97"/>
      <c r="Z73" s="24"/>
    </row>
    <row r="74" spans="1:40">
      <c r="G74" s="38"/>
      <c r="Z74" s="24"/>
      <c r="AB74" s="98"/>
    </row>
    <row r="75" spans="1:40">
      <c r="G75" s="38"/>
      <c r="W75" s="99" t="s">
        <v>118</v>
      </c>
      <c r="X75" s="99"/>
      <c r="Y75" s="100"/>
      <c r="Z75" s="74"/>
    </row>
    <row r="76" spans="1:40">
      <c r="G76" s="38"/>
      <c r="W76" s="101"/>
      <c r="Z76" s="24"/>
    </row>
    <row r="77" spans="1:40">
      <c r="G77" s="38"/>
      <c r="W77" s="101"/>
      <c r="Z77" s="24"/>
    </row>
    <row r="78" spans="1:40">
      <c r="G78" s="38"/>
      <c r="W78" s="101"/>
      <c r="Z78" s="24"/>
    </row>
    <row r="79" spans="1:40">
      <c r="G79" s="38"/>
      <c r="V79" s="102"/>
      <c r="W79" s="101"/>
      <c r="Z79" s="24"/>
    </row>
    <row r="80" spans="1:40">
      <c r="G80" s="38"/>
      <c r="Z80" s="24"/>
    </row>
    <row r="81" spans="1:61">
      <c r="G81" s="38"/>
    </row>
    <row r="82" spans="1:61" s="29" customFormat="1">
      <c r="A82" s="103"/>
      <c r="C82" s="85"/>
      <c r="D82" s="27"/>
      <c r="E82" s="104"/>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row>
    <row r="83" spans="1:61">
      <c r="G83" s="38"/>
    </row>
    <row r="84" spans="1:61">
      <c r="G84" s="38"/>
    </row>
    <row r="85" spans="1:61" s="29" customFormat="1">
      <c r="A85" s="106"/>
      <c r="C85" s="12"/>
      <c r="D85" s="107"/>
      <c r="E85" s="104"/>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row>
    <row r="86" spans="1:61" s="29" customFormat="1">
      <c r="A86" s="103"/>
      <c r="C86" s="85"/>
      <c r="D86" s="108"/>
      <c r="E86" s="30"/>
      <c r="O86" s="109"/>
      <c r="S86" s="20"/>
      <c r="V86" s="110"/>
      <c r="Y86" s="109"/>
      <c r="AA86" s="39"/>
      <c r="AB86" s="110"/>
      <c r="AO86" s="39"/>
      <c r="AP86" s="39"/>
    </row>
    <row r="87" spans="1:61" s="29" customFormat="1">
      <c r="A87" s="105"/>
      <c r="C87" s="12"/>
      <c r="D87" s="27"/>
      <c r="E87" s="104"/>
      <c r="F87" s="105"/>
      <c r="G87" s="105"/>
      <c r="H87" s="105"/>
      <c r="I87" s="105"/>
      <c r="J87" s="105"/>
      <c r="K87" s="105"/>
      <c r="O87" s="109"/>
      <c r="S87" s="20"/>
      <c r="V87" s="110"/>
      <c r="Y87" s="109"/>
      <c r="AA87" s="39"/>
      <c r="AB87" s="110"/>
      <c r="AO87" s="39"/>
      <c r="AP87" s="39"/>
    </row>
    <row r="88" spans="1:61" s="29" customFormat="1">
      <c r="A88" s="103"/>
      <c r="C88" s="85"/>
      <c r="D88" s="108"/>
      <c r="E88" s="30"/>
      <c r="O88" s="109"/>
      <c r="S88" s="20"/>
      <c r="V88" s="110"/>
      <c r="Y88" s="109"/>
      <c r="AA88" s="39"/>
      <c r="AB88" s="110"/>
      <c r="AO88" s="39"/>
      <c r="AP88" s="39"/>
    </row>
    <row r="89" spans="1:61">
      <c r="G89" s="38"/>
    </row>
    <row r="90" spans="1:61">
      <c r="G90" s="38"/>
    </row>
    <row r="91" spans="1:61">
      <c r="G91" s="38"/>
    </row>
    <row r="92" spans="1:61">
      <c r="G92" s="38"/>
    </row>
    <row r="93" spans="1:61">
      <c r="G93" s="38"/>
    </row>
    <row r="94" spans="1:61">
      <c r="G94" s="38"/>
    </row>
    <row r="95" spans="1:61">
      <c r="G95" s="38"/>
      <c r="H95" s="111"/>
      <c r="I95" s="112"/>
      <c r="J95" s="111"/>
      <c r="K95" s="111"/>
      <c r="L95" s="111"/>
      <c r="M95" s="111"/>
      <c r="N95" s="111"/>
      <c r="O95" s="111"/>
      <c r="P95" s="111"/>
      <c r="Q95" s="111"/>
      <c r="R95" s="111"/>
      <c r="S95" s="111"/>
    </row>
    <row r="96" spans="1:61">
      <c r="G96" s="38"/>
    </row>
    <row r="97" spans="7:7">
      <c r="G97" s="38"/>
    </row>
    <row r="98" spans="7:7">
      <c r="G98" s="38"/>
    </row>
    <row r="99" spans="7:7">
      <c r="G99" s="38"/>
    </row>
    <row r="100" spans="7:7">
      <c r="G100" s="38"/>
    </row>
    <row r="101" spans="7:7">
      <c r="G101" s="38"/>
    </row>
    <row r="102" spans="7:7">
      <c r="G102" s="38"/>
    </row>
    <row r="103" spans="7:7">
      <c r="G103" s="38"/>
    </row>
    <row r="104" spans="7:7">
      <c r="G104" s="38"/>
    </row>
    <row r="105" spans="7:7">
      <c r="G105" s="38"/>
    </row>
    <row r="106" spans="7:7">
      <c r="G106" s="38"/>
    </row>
    <row r="107" spans="7:7">
      <c r="G107" s="38"/>
    </row>
    <row r="108" spans="7:7">
      <c r="G108" s="38"/>
    </row>
    <row r="109" spans="7:7">
      <c r="G109" s="38"/>
    </row>
    <row r="110" spans="7:7">
      <c r="G110" s="38"/>
    </row>
    <row r="111" spans="7:7">
      <c r="G111" s="38"/>
    </row>
    <row r="112" spans="7:7">
      <c r="G112" s="38"/>
    </row>
    <row r="113" spans="7:7">
      <c r="G113" s="38"/>
    </row>
    <row r="114" spans="7:7">
      <c r="G114" s="38"/>
    </row>
    <row r="115" spans="7:7">
      <c r="G115" s="38"/>
    </row>
    <row r="116" spans="7:7">
      <c r="G116" s="38"/>
    </row>
    <row r="117" spans="7:7">
      <c r="G117" s="38"/>
    </row>
    <row r="118" spans="7:7">
      <c r="G118" s="38"/>
    </row>
    <row r="119" spans="7:7">
      <c r="G119" s="38"/>
    </row>
    <row r="120" spans="7:7">
      <c r="G120" s="38"/>
    </row>
    <row r="121" spans="7:7">
      <c r="G121" s="38"/>
    </row>
    <row r="122" spans="7:7">
      <c r="G122" s="38"/>
    </row>
    <row r="123" spans="7:7">
      <c r="G123" s="38"/>
    </row>
    <row r="124" spans="7:7">
      <c r="G124" s="38"/>
    </row>
    <row r="125" spans="7:7">
      <c r="G125" s="38"/>
    </row>
    <row r="126" spans="7:7">
      <c r="G126" s="38"/>
    </row>
    <row r="127" spans="7:7">
      <c r="G127" s="38"/>
    </row>
    <row r="128" spans="7:7">
      <c r="G128" s="38"/>
    </row>
    <row r="129" spans="7:7">
      <c r="G129" s="38"/>
    </row>
    <row r="130" spans="7:7">
      <c r="G130" s="38"/>
    </row>
    <row r="131" spans="7:7">
      <c r="G131" s="38"/>
    </row>
    <row r="132" spans="7:7">
      <c r="G132" s="38"/>
    </row>
    <row r="133" spans="7:7">
      <c r="G133" s="38"/>
    </row>
    <row r="134" spans="7:7">
      <c r="G134" s="38"/>
    </row>
    <row r="135" spans="7:7">
      <c r="G135" s="38"/>
    </row>
    <row r="136" spans="7:7">
      <c r="G136" s="38"/>
    </row>
    <row r="137" spans="7:7">
      <c r="G137" s="38"/>
    </row>
    <row r="138" spans="7:7">
      <c r="G138" s="38"/>
    </row>
    <row r="139" spans="7:7">
      <c r="G139" s="38"/>
    </row>
    <row r="140" spans="7:7">
      <c r="G140" s="38"/>
    </row>
    <row r="141" spans="7:7">
      <c r="G141" s="38"/>
    </row>
    <row r="142" spans="7:7">
      <c r="G142" s="38"/>
    </row>
    <row r="143" spans="7:7">
      <c r="G143" s="38"/>
    </row>
    <row r="144" spans="7:7">
      <c r="G144" s="38"/>
    </row>
    <row r="145" spans="7:7">
      <c r="G145" s="38"/>
    </row>
    <row r="146" spans="7:7">
      <c r="G146" s="38"/>
    </row>
    <row r="147" spans="7:7">
      <c r="G147" s="38"/>
    </row>
    <row r="148" spans="7:7">
      <c r="G148" s="38"/>
    </row>
    <row r="149" spans="7:7">
      <c r="G149" s="38"/>
    </row>
    <row r="150" spans="7:7">
      <c r="G150" s="38"/>
    </row>
    <row r="151" spans="7:7">
      <c r="G151" s="38"/>
    </row>
    <row r="152" spans="7:7">
      <c r="G152" s="38"/>
    </row>
    <row r="153" spans="7:7">
      <c r="G153" s="38"/>
    </row>
    <row r="154" spans="7:7">
      <c r="G154" s="38"/>
    </row>
    <row r="155" spans="7:7">
      <c r="G155" s="38"/>
    </row>
    <row r="156" spans="7:7">
      <c r="G156" s="38"/>
    </row>
    <row r="157" spans="7:7">
      <c r="G157" s="38"/>
    </row>
    <row r="158" spans="7:7">
      <c r="G158" s="38"/>
    </row>
    <row r="159" spans="7:7">
      <c r="G159" s="38"/>
    </row>
    <row r="160" spans="7:7">
      <c r="G160" s="38"/>
    </row>
    <row r="161" spans="7:7">
      <c r="G161" s="38"/>
    </row>
    <row r="162" spans="7:7">
      <c r="G162" s="38"/>
    </row>
    <row r="163" spans="7:7">
      <c r="G163" s="38"/>
    </row>
    <row r="164" spans="7:7">
      <c r="G164" s="38"/>
    </row>
    <row r="165" spans="7:7">
      <c r="G165" s="38"/>
    </row>
    <row r="166" spans="7:7">
      <c r="G166" s="38"/>
    </row>
    <row r="167" spans="7:7">
      <c r="G167" s="38"/>
    </row>
    <row r="168" spans="7:7">
      <c r="G168" s="38"/>
    </row>
    <row r="169" spans="7:7">
      <c r="G169" s="38"/>
    </row>
    <row r="170" spans="7:7">
      <c r="G170" s="38"/>
    </row>
    <row r="171" spans="7:7">
      <c r="G171" s="38"/>
    </row>
    <row r="172" spans="7:7">
      <c r="G172" s="38"/>
    </row>
    <row r="173" spans="7:7">
      <c r="G173" s="38"/>
    </row>
    <row r="174" spans="7:7">
      <c r="G174" s="38"/>
    </row>
    <row r="175" spans="7:7">
      <c r="G175" s="38"/>
    </row>
    <row r="176" spans="7:7">
      <c r="G176" s="38"/>
    </row>
    <row r="177" spans="7:7">
      <c r="G177" s="38"/>
    </row>
    <row r="178" spans="7:7">
      <c r="G178" s="38"/>
    </row>
    <row r="179" spans="7:7">
      <c r="G179" s="38"/>
    </row>
    <row r="180" spans="7:7">
      <c r="G180" s="38"/>
    </row>
    <row r="181" spans="7:7">
      <c r="G181" s="38"/>
    </row>
    <row r="182" spans="7:7">
      <c r="G182" s="38"/>
    </row>
    <row r="183" spans="7:7">
      <c r="G183" s="38"/>
    </row>
    <row r="184" spans="7:7">
      <c r="G184" s="38"/>
    </row>
    <row r="185" spans="7:7">
      <c r="G185" s="38"/>
    </row>
    <row r="186" spans="7:7">
      <c r="G186" s="38"/>
    </row>
    <row r="187" spans="7:7">
      <c r="G187" s="38"/>
    </row>
    <row r="188" spans="7:7">
      <c r="G188" s="38"/>
    </row>
    <row r="189" spans="7:7">
      <c r="G189" s="38"/>
    </row>
    <row r="190" spans="7:7">
      <c r="G190" s="38"/>
    </row>
    <row r="191" spans="7:7">
      <c r="G191" s="38"/>
    </row>
    <row r="192" spans="7:7">
      <c r="G192" s="38"/>
    </row>
    <row r="193" spans="7:7">
      <c r="G193" s="38"/>
    </row>
    <row r="194" spans="7:7">
      <c r="G194" s="38"/>
    </row>
    <row r="195" spans="7:7">
      <c r="G195" s="38"/>
    </row>
    <row r="196" spans="7:7">
      <c r="G196" s="38"/>
    </row>
    <row r="197" spans="7:7">
      <c r="G197" s="38"/>
    </row>
    <row r="198" spans="7:7">
      <c r="G198" s="38"/>
    </row>
    <row r="199" spans="7:7">
      <c r="G199" s="38"/>
    </row>
    <row r="200" spans="7:7">
      <c r="G200" s="38"/>
    </row>
    <row r="201" spans="7:7">
      <c r="G201" s="38"/>
    </row>
    <row r="202" spans="7:7">
      <c r="G202" s="38"/>
    </row>
    <row r="203" spans="7:7">
      <c r="G203" s="38"/>
    </row>
    <row r="204" spans="7:7">
      <c r="G204" s="38"/>
    </row>
    <row r="205" spans="7:7">
      <c r="G205" s="38"/>
    </row>
    <row r="206" spans="7:7">
      <c r="G206" s="38"/>
    </row>
    <row r="207" spans="7:7">
      <c r="G207" s="38"/>
    </row>
    <row r="208" spans="7:7">
      <c r="G208" s="38"/>
    </row>
    <row r="209" spans="7:7">
      <c r="G209" s="38"/>
    </row>
    <row r="210" spans="7:7">
      <c r="G210" s="38"/>
    </row>
    <row r="211" spans="7:7">
      <c r="G211" s="38"/>
    </row>
    <row r="212" spans="7:7">
      <c r="G212" s="38"/>
    </row>
    <row r="213" spans="7:7">
      <c r="G213" s="38"/>
    </row>
    <row r="214" spans="7:7">
      <c r="G214" s="38"/>
    </row>
    <row r="215" spans="7:7">
      <c r="G215" s="38"/>
    </row>
    <row r="216" spans="7:7">
      <c r="G216" s="38"/>
    </row>
    <row r="217" spans="7:7">
      <c r="G217" s="38"/>
    </row>
    <row r="218" spans="7:7">
      <c r="G218" s="38"/>
    </row>
    <row r="219" spans="7:7">
      <c r="G219" s="38"/>
    </row>
    <row r="220" spans="7:7">
      <c r="G220" s="38"/>
    </row>
    <row r="221" spans="7:7">
      <c r="G221" s="38"/>
    </row>
    <row r="222" spans="7:7">
      <c r="G222" s="38"/>
    </row>
    <row r="223" spans="7:7">
      <c r="G223" s="38"/>
    </row>
    <row r="224" spans="7:7">
      <c r="G224" s="38"/>
    </row>
    <row r="225" spans="7:7">
      <c r="G225" s="38"/>
    </row>
    <row r="226" spans="7:7">
      <c r="G226" s="38"/>
    </row>
    <row r="227" spans="7:7">
      <c r="G227" s="38"/>
    </row>
    <row r="228" spans="7:7">
      <c r="G228" s="38"/>
    </row>
    <row r="229" spans="7:7">
      <c r="G229" s="38"/>
    </row>
    <row r="230" spans="7:7">
      <c r="G230" s="38"/>
    </row>
    <row r="231" spans="7:7">
      <c r="G231" s="38"/>
    </row>
    <row r="232" spans="7:7">
      <c r="G232" s="38"/>
    </row>
    <row r="233" spans="7:7">
      <c r="G233" s="38"/>
    </row>
    <row r="234" spans="7:7">
      <c r="G234" s="38"/>
    </row>
    <row r="235" spans="7:7">
      <c r="G235" s="38"/>
    </row>
    <row r="236" spans="7:7">
      <c r="G236" s="38"/>
    </row>
    <row r="237" spans="7:7">
      <c r="G237" s="38"/>
    </row>
    <row r="238" spans="7:7">
      <c r="G238" s="38"/>
    </row>
    <row r="239" spans="7:7">
      <c r="G239" s="38"/>
    </row>
    <row r="240" spans="7:7">
      <c r="G240" s="38"/>
    </row>
    <row r="241" spans="7:7">
      <c r="G241" s="38"/>
    </row>
    <row r="242" spans="7:7">
      <c r="G242" s="38"/>
    </row>
    <row r="243" spans="7:7">
      <c r="G243" s="38"/>
    </row>
    <row r="244" spans="7:7">
      <c r="G244" s="38"/>
    </row>
    <row r="245" spans="7:7">
      <c r="G245" s="38"/>
    </row>
    <row r="246" spans="7:7">
      <c r="G246" s="38"/>
    </row>
    <row r="247" spans="7:7">
      <c r="G247" s="38"/>
    </row>
    <row r="248" spans="7:7">
      <c r="G248" s="38"/>
    </row>
    <row r="249" spans="7:7">
      <c r="G249" s="38"/>
    </row>
    <row r="250" spans="7:7">
      <c r="G250" s="38"/>
    </row>
    <row r="251" spans="7:7">
      <c r="G251" s="38"/>
    </row>
    <row r="252" spans="7:7">
      <c r="G252" s="38"/>
    </row>
    <row r="253" spans="7:7">
      <c r="G253" s="38"/>
    </row>
    <row r="254" spans="7:7">
      <c r="G254" s="38"/>
    </row>
    <row r="255" spans="7:7">
      <c r="G255" s="38"/>
    </row>
    <row r="256" spans="7:7">
      <c r="G256" s="38"/>
    </row>
    <row r="257" spans="7:7">
      <c r="G257" s="38"/>
    </row>
    <row r="258" spans="7:7">
      <c r="G258" s="38"/>
    </row>
    <row r="259" spans="7:7">
      <c r="G259" s="38"/>
    </row>
    <row r="260" spans="7:7">
      <c r="G260" s="38"/>
    </row>
    <row r="261" spans="7:7">
      <c r="G261" s="38"/>
    </row>
    <row r="262" spans="7:7">
      <c r="G262" s="38"/>
    </row>
    <row r="263" spans="7:7">
      <c r="G263" s="38"/>
    </row>
    <row r="264" spans="7:7">
      <c r="G264" s="38"/>
    </row>
    <row r="265" spans="7:7">
      <c r="G265" s="38"/>
    </row>
    <row r="266" spans="7:7">
      <c r="G266" s="38"/>
    </row>
    <row r="267" spans="7:7">
      <c r="G267" s="38"/>
    </row>
    <row r="268" spans="7:7">
      <c r="G268" s="38"/>
    </row>
    <row r="269" spans="7:7">
      <c r="G269" s="38"/>
    </row>
    <row r="270" spans="7:7">
      <c r="G270" s="38"/>
    </row>
    <row r="271" spans="7:7">
      <c r="G271" s="38"/>
    </row>
    <row r="272" spans="7:7">
      <c r="G272" s="38"/>
    </row>
    <row r="273" spans="7:7">
      <c r="G273" s="38"/>
    </row>
    <row r="274" spans="7:7">
      <c r="G274" s="38"/>
    </row>
    <row r="275" spans="7:7">
      <c r="G275" s="38"/>
    </row>
    <row r="276" spans="7:7">
      <c r="G276" s="38"/>
    </row>
    <row r="277" spans="7:7">
      <c r="G277" s="38"/>
    </row>
    <row r="278" spans="7:7">
      <c r="G278" s="38"/>
    </row>
    <row r="279" spans="7:7">
      <c r="G279" s="38"/>
    </row>
    <row r="280" spans="7:7">
      <c r="G280" s="38"/>
    </row>
    <row r="281" spans="7:7">
      <c r="G281" s="38"/>
    </row>
    <row r="282" spans="7:7">
      <c r="G282" s="38"/>
    </row>
    <row r="283" spans="7:7">
      <c r="G283" s="38"/>
    </row>
    <row r="284" spans="7:7">
      <c r="G284" s="38"/>
    </row>
    <row r="285" spans="7:7">
      <c r="G285" s="38"/>
    </row>
    <row r="286" spans="7:7">
      <c r="G286" s="38"/>
    </row>
    <row r="287" spans="7:7">
      <c r="G287" s="38"/>
    </row>
    <row r="288" spans="7:7">
      <c r="G288" s="38"/>
    </row>
    <row r="289" spans="7:7">
      <c r="G289" s="38"/>
    </row>
    <row r="290" spans="7:7">
      <c r="G290" s="38"/>
    </row>
    <row r="291" spans="7:7">
      <c r="G291" s="38"/>
    </row>
    <row r="292" spans="7:7">
      <c r="G292" s="38"/>
    </row>
    <row r="293" spans="7:7">
      <c r="G293" s="38"/>
    </row>
    <row r="294" spans="7:7">
      <c r="G294" s="38"/>
    </row>
    <row r="295" spans="7:7">
      <c r="G295" s="38"/>
    </row>
    <row r="296" spans="7:7">
      <c r="G296" s="38"/>
    </row>
    <row r="297" spans="7:7">
      <c r="G297" s="38"/>
    </row>
    <row r="298" spans="7:7">
      <c r="G298" s="38"/>
    </row>
    <row r="299" spans="7:7">
      <c r="G299" s="38"/>
    </row>
    <row r="300" spans="7:7">
      <c r="G300" s="38"/>
    </row>
    <row r="301" spans="7:7">
      <c r="G301" s="38"/>
    </row>
    <row r="302" spans="7:7">
      <c r="G302" s="38"/>
    </row>
    <row r="303" spans="7:7">
      <c r="G303" s="38"/>
    </row>
    <row r="304" spans="7:7">
      <c r="G304" s="38"/>
    </row>
    <row r="305" spans="7:7">
      <c r="G305" s="38"/>
    </row>
    <row r="306" spans="7:7">
      <c r="G306" s="38"/>
    </row>
    <row r="307" spans="7:7">
      <c r="G307" s="38"/>
    </row>
    <row r="308" spans="7:7">
      <c r="G308" s="38"/>
    </row>
    <row r="309" spans="7:7">
      <c r="G309" s="38"/>
    </row>
    <row r="310" spans="7:7">
      <c r="G310" s="38"/>
    </row>
    <row r="311" spans="7:7">
      <c r="G311" s="38"/>
    </row>
    <row r="312" spans="7:7">
      <c r="G312" s="38"/>
    </row>
    <row r="313" spans="7:7">
      <c r="G313" s="38"/>
    </row>
    <row r="314" spans="7:7">
      <c r="G314" s="38"/>
    </row>
    <row r="315" spans="7:7">
      <c r="G315" s="38"/>
    </row>
    <row r="316" spans="7:7">
      <c r="G316" s="38"/>
    </row>
    <row r="317" spans="7:7">
      <c r="G317" s="38"/>
    </row>
    <row r="318" spans="7:7">
      <c r="G318" s="38"/>
    </row>
    <row r="319" spans="7:7">
      <c r="G319" s="38"/>
    </row>
    <row r="320" spans="7:7">
      <c r="G320" s="38"/>
    </row>
    <row r="321" spans="7:7">
      <c r="G321" s="38"/>
    </row>
    <row r="322" spans="7:7">
      <c r="G322" s="38"/>
    </row>
    <row r="323" spans="7:7">
      <c r="G323" s="38"/>
    </row>
    <row r="324" spans="7:7">
      <c r="G324" s="38"/>
    </row>
    <row r="325" spans="7:7">
      <c r="G325" s="38"/>
    </row>
    <row r="326" spans="7:7">
      <c r="G326" s="38"/>
    </row>
    <row r="327" spans="7:7">
      <c r="G327" s="38"/>
    </row>
    <row r="328" spans="7:7">
      <c r="G328" s="38"/>
    </row>
    <row r="329" spans="7:7">
      <c r="G329" s="38"/>
    </row>
    <row r="330" spans="7:7">
      <c r="G330" s="38"/>
    </row>
    <row r="331" spans="7:7">
      <c r="G331" s="38"/>
    </row>
    <row r="332" spans="7:7">
      <c r="G332" s="38"/>
    </row>
    <row r="333" spans="7:7">
      <c r="G333" s="38"/>
    </row>
    <row r="334" spans="7:7">
      <c r="G334" s="38"/>
    </row>
    <row r="335" spans="7:7">
      <c r="G335" s="38"/>
    </row>
    <row r="336" spans="7:7">
      <c r="G336" s="38"/>
    </row>
    <row r="337" spans="7:7">
      <c r="G337" s="38"/>
    </row>
    <row r="338" spans="7:7">
      <c r="G338" s="38"/>
    </row>
    <row r="339" spans="7:7">
      <c r="G339" s="38"/>
    </row>
    <row r="340" spans="7:7">
      <c r="G340" s="38"/>
    </row>
    <row r="341" spans="7:7">
      <c r="G341" s="38"/>
    </row>
    <row r="342" spans="7:7">
      <c r="G342" s="38"/>
    </row>
    <row r="343" spans="7:7">
      <c r="G343" s="38"/>
    </row>
    <row r="344" spans="7:7">
      <c r="G344" s="38"/>
    </row>
    <row r="345" spans="7:7">
      <c r="G345" s="38"/>
    </row>
    <row r="346" spans="7:7">
      <c r="G346" s="38"/>
    </row>
    <row r="347" spans="7:7">
      <c r="G347" s="38"/>
    </row>
    <row r="348" spans="7:7">
      <c r="G348" s="38"/>
    </row>
    <row r="349" spans="7:7">
      <c r="G349" s="38"/>
    </row>
    <row r="350" spans="7:7">
      <c r="G350" s="38"/>
    </row>
    <row r="351" spans="7:7">
      <c r="G351" s="38"/>
    </row>
    <row r="352" spans="7:7">
      <c r="G352" s="38"/>
    </row>
    <row r="353" spans="7:7">
      <c r="G353" s="38"/>
    </row>
    <row r="354" spans="7:7">
      <c r="G354" s="38"/>
    </row>
    <row r="355" spans="7:7">
      <c r="G355" s="38"/>
    </row>
    <row r="356" spans="7:7">
      <c r="G356" s="38"/>
    </row>
    <row r="357" spans="7:7">
      <c r="G357" s="38"/>
    </row>
    <row r="358" spans="7:7">
      <c r="G358" s="38"/>
    </row>
    <row r="359" spans="7:7">
      <c r="G359" s="38"/>
    </row>
    <row r="360" spans="7:7">
      <c r="G360" s="38"/>
    </row>
    <row r="361" spans="7:7">
      <c r="G361" s="38"/>
    </row>
    <row r="362" spans="7:7">
      <c r="G362" s="38"/>
    </row>
    <row r="363" spans="7:7">
      <c r="G363" s="38"/>
    </row>
    <row r="364" spans="7:7">
      <c r="G364" s="38"/>
    </row>
    <row r="365" spans="7:7">
      <c r="G365" s="38"/>
    </row>
    <row r="366" spans="7:7">
      <c r="G366" s="38"/>
    </row>
    <row r="367" spans="7:7">
      <c r="G367" s="38"/>
    </row>
    <row r="368" spans="7:7">
      <c r="G368" s="38"/>
    </row>
    <row r="369" spans="7:7">
      <c r="G369" s="38"/>
    </row>
    <row r="370" spans="7:7">
      <c r="G370" s="38"/>
    </row>
    <row r="371" spans="7:7">
      <c r="G371" s="38"/>
    </row>
    <row r="372" spans="7:7">
      <c r="G372" s="38"/>
    </row>
    <row r="373" spans="7:7">
      <c r="G373" s="38"/>
    </row>
    <row r="374" spans="7:7">
      <c r="G374" s="38"/>
    </row>
    <row r="375" spans="7:7">
      <c r="G375" s="38"/>
    </row>
    <row r="376" spans="7:7">
      <c r="G376" s="38"/>
    </row>
    <row r="377" spans="7:7">
      <c r="G377" s="38"/>
    </row>
    <row r="378" spans="7:7">
      <c r="G378" s="38"/>
    </row>
    <row r="379" spans="7:7">
      <c r="G379" s="38"/>
    </row>
    <row r="380" spans="7:7">
      <c r="G380" s="38"/>
    </row>
    <row r="381" spans="7:7">
      <c r="G381" s="38"/>
    </row>
    <row r="382" spans="7:7">
      <c r="G382" s="38"/>
    </row>
    <row r="383" spans="7:7">
      <c r="G383" s="38"/>
    </row>
    <row r="384" spans="7:7">
      <c r="G384" s="38"/>
    </row>
    <row r="385" spans="7:7">
      <c r="G385" s="38"/>
    </row>
    <row r="386" spans="7:7">
      <c r="G386" s="38"/>
    </row>
    <row r="387" spans="7:7">
      <c r="G387" s="38"/>
    </row>
    <row r="388" spans="7:7">
      <c r="G388" s="38"/>
    </row>
    <row r="389" spans="7:7">
      <c r="G389" s="38"/>
    </row>
    <row r="390" spans="7:7">
      <c r="G390" s="38"/>
    </row>
    <row r="391" spans="7:7">
      <c r="G391" s="38"/>
    </row>
    <row r="392" spans="7:7">
      <c r="G392" s="38"/>
    </row>
    <row r="393" spans="7:7">
      <c r="G393" s="38"/>
    </row>
    <row r="394" spans="7:7">
      <c r="G394" s="38"/>
    </row>
    <row r="395" spans="7:7">
      <c r="G395" s="38"/>
    </row>
    <row r="396" spans="7:7">
      <c r="G396" s="38"/>
    </row>
    <row r="397" spans="7:7">
      <c r="G397" s="38"/>
    </row>
    <row r="398" spans="7:7">
      <c r="G398" s="38"/>
    </row>
    <row r="399" spans="7:7">
      <c r="G399" s="38"/>
    </row>
    <row r="400" spans="7:7">
      <c r="G400" s="38"/>
    </row>
    <row r="401" spans="7:7">
      <c r="G401" s="38"/>
    </row>
    <row r="402" spans="7:7">
      <c r="G402" s="38"/>
    </row>
    <row r="403" spans="7:7">
      <c r="G403" s="38"/>
    </row>
    <row r="404" spans="7:7">
      <c r="G404" s="38"/>
    </row>
    <row r="405" spans="7:7">
      <c r="G405" s="38"/>
    </row>
    <row r="406" spans="7:7">
      <c r="G406" s="38"/>
    </row>
    <row r="407" spans="7:7">
      <c r="G407" s="38"/>
    </row>
    <row r="408" spans="7:7">
      <c r="G408" s="38"/>
    </row>
    <row r="409" spans="7:7">
      <c r="G409" s="38"/>
    </row>
    <row r="410" spans="7:7">
      <c r="G410" s="38"/>
    </row>
    <row r="411" spans="7:7">
      <c r="G411" s="38"/>
    </row>
    <row r="412" spans="7:7">
      <c r="G412" s="38"/>
    </row>
    <row r="413" spans="7:7">
      <c r="G413" s="38"/>
    </row>
    <row r="414" spans="7:7">
      <c r="G414" s="38"/>
    </row>
    <row r="415" spans="7:7">
      <c r="G415" s="38"/>
    </row>
    <row r="416" spans="7:7">
      <c r="G416" s="38"/>
    </row>
    <row r="417" spans="7:7">
      <c r="G417" s="38"/>
    </row>
    <row r="418" spans="7:7">
      <c r="G418" s="38"/>
    </row>
    <row r="419" spans="7:7">
      <c r="G419" s="38"/>
    </row>
    <row r="420" spans="7:7">
      <c r="G420" s="38"/>
    </row>
    <row r="421" spans="7:7">
      <c r="G421" s="38"/>
    </row>
    <row r="422" spans="7:7">
      <c r="G422" s="38"/>
    </row>
    <row r="423" spans="7:7">
      <c r="G423" s="38"/>
    </row>
    <row r="424" spans="7:7">
      <c r="G424" s="38"/>
    </row>
    <row r="425" spans="7:7">
      <c r="G425" s="38"/>
    </row>
    <row r="426" spans="7:7">
      <c r="G426" s="38"/>
    </row>
    <row r="427" spans="7:7">
      <c r="G427" s="38"/>
    </row>
    <row r="428" spans="7:7">
      <c r="G428" s="38"/>
    </row>
    <row r="429" spans="7:7">
      <c r="G429" s="38"/>
    </row>
    <row r="430" spans="7:7">
      <c r="G430" s="38"/>
    </row>
    <row r="431" spans="7:7">
      <c r="G431" s="38"/>
    </row>
    <row r="432" spans="7:7">
      <c r="G432" s="38"/>
    </row>
    <row r="433" spans="7:7">
      <c r="G433" s="38"/>
    </row>
    <row r="434" spans="7:7">
      <c r="G434" s="38"/>
    </row>
    <row r="435" spans="7:7">
      <c r="G435" s="38"/>
    </row>
    <row r="436" spans="7:7">
      <c r="G436" s="38"/>
    </row>
    <row r="437" spans="7:7">
      <c r="G437" s="38"/>
    </row>
    <row r="438" spans="7:7">
      <c r="G438" s="38"/>
    </row>
    <row r="439" spans="7:7">
      <c r="G439" s="38"/>
    </row>
    <row r="440" spans="7:7">
      <c r="G440" s="38"/>
    </row>
    <row r="441" spans="7:7">
      <c r="G441" s="38"/>
    </row>
    <row r="442" spans="7:7">
      <c r="G442" s="38"/>
    </row>
    <row r="443" spans="7:7">
      <c r="G443" s="38"/>
    </row>
    <row r="444" spans="7:7">
      <c r="G444" s="38"/>
    </row>
    <row r="445" spans="7:7">
      <c r="G445" s="38"/>
    </row>
    <row r="446" spans="7:7">
      <c r="G446" s="38"/>
    </row>
    <row r="447" spans="7:7">
      <c r="G447" s="38"/>
    </row>
    <row r="448" spans="7:7">
      <c r="G448" s="38"/>
    </row>
    <row r="449" spans="7:7">
      <c r="G449" s="38"/>
    </row>
    <row r="450" spans="7:7">
      <c r="G450" s="38"/>
    </row>
    <row r="451" spans="7:7">
      <c r="G451" s="38"/>
    </row>
    <row r="452" spans="7:7">
      <c r="G452" s="38"/>
    </row>
    <row r="453" spans="7:7">
      <c r="G453" s="38"/>
    </row>
    <row r="454" spans="7:7">
      <c r="G454" s="38"/>
    </row>
    <row r="455" spans="7:7">
      <c r="G455" s="38"/>
    </row>
    <row r="456" spans="7:7">
      <c r="G456" s="38"/>
    </row>
    <row r="457" spans="7:7">
      <c r="G457" s="38"/>
    </row>
    <row r="458" spans="7:7">
      <c r="G458" s="38"/>
    </row>
    <row r="459" spans="7:7">
      <c r="G459" s="38"/>
    </row>
    <row r="460" spans="7:7">
      <c r="G460" s="38"/>
    </row>
    <row r="461" spans="7:7">
      <c r="G461" s="38"/>
    </row>
    <row r="462" spans="7:7">
      <c r="G462" s="38"/>
    </row>
    <row r="463" spans="7:7">
      <c r="G463" s="38"/>
    </row>
    <row r="464" spans="7:7">
      <c r="G464" s="38"/>
    </row>
    <row r="465" spans="7:7">
      <c r="G465" s="38"/>
    </row>
    <row r="466" spans="7:7">
      <c r="G466" s="38"/>
    </row>
    <row r="467" spans="7:7">
      <c r="G467" s="38"/>
    </row>
    <row r="468" spans="7:7">
      <c r="G468" s="38"/>
    </row>
    <row r="469" spans="7:7">
      <c r="G469" s="38"/>
    </row>
    <row r="470" spans="7:7">
      <c r="G470" s="38"/>
    </row>
    <row r="471" spans="7:7">
      <c r="G471" s="38"/>
    </row>
    <row r="472" spans="7:7">
      <c r="G472" s="38"/>
    </row>
    <row r="473" spans="7:7">
      <c r="G473" s="38"/>
    </row>
    <row r="474" spans="7:7">
      <c r="G474" s="38"/>
    </row>
    <row r="475" spans="7:7">
      <c r="G475" s="38"/>
    </row>
    <row r="476" spans="7:7">
      <c r="G476" s="38"/>
    </row>
    <row r="477" spans="7:7">
      <c r="G477" s="38"/>
    </row>
    <row r="478" spans="7:7">
      <c r="G478" s="38"/>
    </row>
    <row r="479" spans="7:7">
      <c r="G479" s="38"/>
    </row>
    <row r="480" spans="7:7">
      <c r="G480" s="38"/>
    </row>
    <row r="481" spans="7:7">
      <c r="G481" s="38"/>
    </row>
    <row r="482" spans="7:7">
      <c r="G482" s="38"/>
    </row>
    <row r="483" spans="7:7">
      <c r="G483" s="38"/>
    </row>
    <row r="484" spans="7:7">
      <c r="G484" s="38"/>
    </row>
    <row r="485" spans="7:7">
      <c r="G485" s="38"/>
    </row>
    <row r="486" spans="7:7">
      <c r="G486" s="38"/>
    </row>
    <row r="487" spans="7:7">
      <c r="G487" s="38"/>
    </row>
    <row r="488" spans="7:7">
      <c r="G488" s="38"/>
    </row>
    <row r="489" spans="7:7">
      <c r="G489" s="38"/>
    </row>
    <row r="490" spans="7:7">
      <c r="G490" s="38"/>
    </row>
    <row r="491" spans="7:7">
      <c r="G491" s="38"/>
    </row>
    <row r="492" spans="7:7">
      <c r="G492" s="38"/>
    </row>
    <row r="493" spans="7:7">
      <c r="G493" s="38"/>
    </row>
    <row r="494" spans="7:7">
      <c r="G494" s="38"/>
    </row>
    <row r="495" spans="7:7">
      <c r="G495" s="38"/>
    </row>
    <row r="496" spans="7:7">
      <c r="G496" s="38"/>
    </row>
    <row r="497" spans="7:7">
      <c r="G497" s="38"/>
    </row>
    <row r="498" spans="7:7">
      <c r="G498" s="38"/>
    </row>
    <row r="499" spans="7:7">
      <c r="G499" s="38"/>
    </row>
    <row r="500" spans="7:7">
      <c r="G500" s="38"/>
    </row>
    <row r="501" spans="7:7">
      <c r="G501" s="38"/>
    </row>
    <row r="502" spans="7:7">
      <c r="G502" s="38"/>
    </row>
    <row r="503" spans="7:7">
      <c r="G503" s="38"/>
    </row>
    <row r="504" spans="7:7">
      <c r="G504" s="38"/>
    </row>
    <row r="505" spans="7:7">
      <c r="G505" s="38"/>
    </row>
    <row r="506" spans="7:7">
      <c r="G506" s="38"/>
    </row>
    <row r="507" spans="7:7">
      <c r="G507" s="38"/>
    </row>
    <row r="508" spans="7:7">
      <c r="G508" s="38"/>
    </row>
    <row r="509" spans="7:7">
      <c r="G509" s="38"/>
    </row>
    <row r="510" spans="7:7">
      <c r="G510" s="38"/>
    </row>
    <row r="511" spans="7:7">
      <c r="G511" s="38"/>
    </row>
    <row r="512" spans="7:7">
      <c r="G512" s="38"/>
    </row>
    <row r="513" spans="7:7">
      <c r="G513" s="38"/>
    </row>
    <row r="514" spans="7:7">
      <c r="G514" s="38"/>
    </row>
    <row r="515" spans="7:7">
      <c r="G515" s="38"/>
    </row>
    <row r="516" spans="7:7">
      <c r="G516" s="38"/>
    </row>
    <row r="517" spans="7:7">
      <c r="G517" s="38"/>
    </row>
    <row r="518" spans="7:7">
      <c r="G518" s="38"/>
    </row>
    <row r="519" spans="7:7">
      <c r="G519" s="38"/>
    </row>
    <row r="520" spans="7:7">
      <c r="G520" s="38"/>
    </row>
    <row r="521" spans="7:7">
      <c r="G521" s="38"/>
    </row>
    <row r="522" spans="7:7">
      <c r="G522" s="38"/>
    </row>
    <row r="523" spans="7:7">
      <c r="G523" s="38"/>
    </row>
    <row r="524" spans="7:7">
      <c r="G524" s="38"/>
    </row>
    <row r="525" spans="7:7">
      <c r="G525" s="38"/>
    </row>
    <row r="526" spans="7:7">
      <c r="G526" s="38"/>
    </row>
    <row r="527" spans="7:7">
      <c r="G527" s="38"/>
    </row>
    <row r="528" spans="7:7">
      <c r="G528" s="38"/>
    </row>
    <row r="529" spans="7:7">
      <c r="G529" s="38"/>
    </row>
    <row r="530" spans="7:7">
      <c r="G530" s="38"/>
    </row>
    <row r="531" spans="7:7">
      <c r="G531" s="38"/>
    </row>
    <row r="532" spans="7:7">
      <c r="G532" s="38"/>
    </row>
    <row r="533" spans="7:7">
      <c r="G533" s="38"/>
    </row>
    <row r="534" spans="7:7">
      <c r="G534" s="38"/>
    </row>
    <row r="535" spans="7:7">
      <c r="G535" s="38"/>
    </row>
    <row r="536" spans="7:7">
      <c r="G536" s="38"/>
    </row>
    <row r="537" spans="7:7">
      <c r="G537" s="38"/>
    </row>
    <row r="538" spans="7:7">
      <c r="G538" s="38"/>
    </row>
    <row r="539" spans="7:7">
      <c r="G539" s="38"/>
    </row>
    <row r="540" spans="7:7">
      <c r="G540" s="38"/>
    </row>
    <row r="541" spans="7:7">
      <c r="G541" s="38"/>
    </row>
    <row r="542" spans="7:7">
      <c r="G542" s="38"/>
    </row>
    <row r="543" spans="7:7">
      <c r="G543" s="38"/>
    </row>
    <row r="544" spans="7:7">
      <c r="G544" s="38"/>
    </row>
    <row r="545" spans="7:7">
      <c r="G545" s="38"/>
    </row>
    <row r="546" spans="7:7">
      <c r="G546" s="38"/>
    </row>
    <row r="547" spans="7:7">
      <c r="G547" s="38"/>
    </row>
    <row r="548" spans="7:7">
      <c r="G548" s="38"/>
    </row>
    <row r="549" spans="7:7">
      <c r="G549" s="38"/>
    </row>
    <row r="550" spans="7:7">
      <c r="G550" s="38"/>
    </row>
    <row r="551" spans="7:7">
      <c r="G551" s="38"/>
    </row>
    <row r="552" spans="7:7">
      <c r="G552" s="38"/>
    </row>
    <row r="553" spans="7:7">
      <c r="G553" s="38"/>
    </row>
    <row r="554" spans="7:7">
      <c r="G554" s="38"/>
    </row>
    <row r="555" spans="7:7">
      <c r="G555" s="38"/>
    </row>
  </sheetData>
  <printOptions gridLines="1"/>
  <pageMargins left="0.75" right="0.75" top="1" bottom="1" header="0.5" footer="0.5"/>
  <pageSetup scale="76" fitToHeight="2" orientation="landscape" r:id="rId1"/>
  <headerFooter alignWithMargins="0">
    <oddFooter>&amp;L&amp;F&amp;CLegilslative Finance&amp;R&amp;D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DATA</vt:lpstr>
      <vt:lpstr>DATA!Print_Area</vt:lpstr>
      <vt:lpstr>DATA!Print_Titles</vt:lpstr>
      <vt:lpstr>DATA!TABLE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rob_c</dc:creator>
  <cp:lastModifiedBy>rob_c</cp:lastModifiedBy>
  <dcterms:created xsi:type="dcterms:W3CDTF">2016-08-11T18:15:44Z</dcterms:created>
  <dcterms:modified xsi:type="dcterms:W3CDTF">2016-08-11T18:18:04Z</dcterms:modified>
</cp:coreProperties>
</file>